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showInkAnnotation="0" codeName="ThisWorkbook" autoCompressPictures="0"/>
  <mc:AlternateContent xmlns:mc="http://schemas.openxmlformats.org/markup-compatibility/2006">
    <mc:Choice Requires="x15">
      <x15ac:absPath xmlns:x15ac="http://schemas.microsoft.com/office/spreadsheetml/2010/11/ac" url="D:\Documents\SimplyRetirement\"/>
    </mc:Choice>
  </mc:AlternateContent>
  <xr:revisionPtr revIDLastSave="0" documentId="8_{D4549B03-A8AD-40CF-BF91-06F71F18E762}" xr6:coauthVersionLast="47" xr6:coauthVersionMax="47" xr10:uidLastSave="{00000000-0000-0000-0000-000000000000}"/>
  <workbookProtection workbookAlgorithmName="SHA-512" workbookHashValue="nK+7M1N79EgYNxU8l16cbXDwtZLLy6ONSMYoQLkmODfhA1rwBXFHIpaG1Pv9GgkHoixkvjMn8v93Wh/yv1Ljwg==" workbookSaltValue="Xtv6i2qw32ltJ02t9ZtWpQ==" workbookSpinCount="100000" lockStructure="1"/>
  <bookViews>
    <workbookView xWindow="11532" yWindow="2424" windowWidth="31920" windowHeight="18444" tabRatio="500" activeTab="1" xr2:uid="{00000000-000D-0000-FFFF-FFFF00000000}"/>
  </bookViews>
  <sheets>
    <sheet name="Disclaimer" sheetId="6" r:id="rId1"/>
    <sheet name="Age Pension Eligibility" sheetId="3" r:id="rId2"/>
    <sheet name="data" sheetId="4" state="hidden" r:id="rId3"/>
    <sheet name="lists" sheetId="5" state="hidden" r:id="rId4"/>
  </sheets>
  <definedNames>
    <definedName name="_xlnm.Print_Area" localSheetId="1">'Age Pension Eligibility'!$A$1:$L$92</definedName>
    <definedName name="_xlnm.Print_Area" localSheetId="0">Disclaimer!$A$1:$J$21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1" i="4" l="1"/>
  <c r="G41" i="4"/>
  <c r="E41" i="4"/>
  <c r="G39" i="4"/>
  <c r="F39" i="4"/>
  <c r="E39" i="4"/>
  <c r="E104" i="3"/>
  <c r="E105" i="3"/>
  <c r="E122" i="3"/>
  <c r="E123" i="3"/>
  <c r="G122" i="3"/>
  <c r="E125" i="3"/>
  <c r="E129" i="3"/>
  <c r="E111" i="3"/>
  <c r="E112" i="3"/>
  <c r="E114" i="3"/>
  <c r="E118" i="3"/>
  <c r="E140" i="3"/>
  <c r="G140" i="3"/>
  <c r="I140" i="3"/>
  <c r="I141" i="3"/>
  <c r="C58" i="3"/>
  <c r="G58" i="3"/>
  <c r="I58" i="3"/>
  <c r="I142" i="3"/>
  <c r="E146" i="3"/>
  <c r="E147" i="3"/>
  <c r="E148" i="3"/>
  <c r="E158" i="3"/>
  <c r="E159" i="3"/>
  <c r="G146" i="3"/>
  <c r="G147" i="3"/>
  <c r="G148" i="3"/>
  <c r="G158" i="3"/>
  <c r="G159" i="3"/>
  <c r="E34" i="3"/>
  <c r="E38" i="3"/>
  <c r="I161" i="3"/>
  <c r="G165" i="3"/>
  <c r="C63" i="3"/>
  <c r="I63" i="3"/>
  <c r="G167" i="3"/>
  <c r="G169" i="3"/>
  <c r="G170" i="3"/>
  <c r="E180" i="3"/>
  <c r="G180" i="3"/>
  <c r="I180" i="3"/>
  <c r="I181" i="3"/>
  <c r="G182" i="3"/>
  <c r="C67" i="3"/>
  <c r="I67" i="3"/>
  <c r="G184" i="3"/>
  <c r="G186" i="3"/>
  <c r="G187" i="3"/>
  <c r="G196" i="3"/>
  <c r="E67" i="3"/>
  <c r="G183" i="3"/>
  <c r="G185" i="3"/>
  <c r="G189" i="3"/>
  <c r="G190" i="3"/>
  <c r="E82" i="3"/>
  <c r="E83" i="3"/>
  <c r="G133" i="3"/>
  <c r="E85" i="3"/>
  <c r="G134" i="3"/>
  <c r="E87" i="3"/>
  <c r="G135" i="3"/>
  <c r="G136" i="3"/>
  <c r="G191" i="3"/>
  <c r="G192" i="3"/>
  <c r="E63" i="3"/>
  <c r="G166" i="3"/>
  <c r="G168" i="3"/>
  <c r="G172" i="3"/>
  <c r="G173" i="3"/>
  <c r="G174" i="3"/>
  <c r="G175" i="3"/>
  <c r="G176" i="3"/>
  <c r="G197" i="3"/>
  <c r="G198" i="3"/>
  <c r="E182" i="3"/>
  <c r="E184" i="3"/>
  <c r="E186" i="3"/>
  <c r="E187" i="3"/>
  <c r="E183" i="3"/>
  <c r="E185" i="3"/>
  <c r="E189" i="3"/>
  <c r="E190" i="3"/>
  <c r="E133" i="3"/>
  <c r="E134" i="3"/>
  <c r="E135" i="3"/>
  <c r="E136" i="3"/>
  <c r="E191" i="3"/>
  <c r="E192" i="3"/>
  <c r="E165" i="3"/>
  <c r="E167" i="3"/>
  <c r="E169" i="3"/>
  <c r="E170" i="3"/>
  <c r="E166" i="3"/>
  <c r="E168" i="3"/>
  <c r="E172" i="3"/>
  <c r="E173" i="3"/>
  <c r="E174" i="3"/>
  <c r="E175" i="3"/>
  <c r="E176" i="3"/>
  <c r="I154" i="3"/>
  <c r="C53" i="3"/>
  <c r="I153" i="3"/>
  <c r="C46" i="3"/>
  <c r="C154" i="3"/>
  <c r="C52" i="3"/>
  <c r="G154" i="3"/>
  <c r="B52" i="3"/>
  <c r="C153" i="3"/>
  <c r="C45" i="3"/>
  <c r="G153" i="3"/>
  <c r="B45" i="3"/>
  <c r="G50" i="4"/>
  <c r="E50" i="4"/>
  <c r="E29" i="3"/>
  <c r="E31" i="3"/>
  <c r="I139" i="3"/>
  <c r="I49" i="4"/>
  <c r="G49" i="4"/>
  <c r="E126" i="3"/>
  <c r="E115" i="3"/>
  <c r="H49" i="4"/>
  <c r="E51" i="4"/>
  <c r="F51" i="4"/>
  <c r="E49" i="4"/>
  <c r="F49" i="4"/>
  <c r="G59" i="3"/>
  <c r="E21" i="3"/>
  <c r="I179" i="3"/>
  <c r="F48" i="4"/>
  <c r="F50" i="4"/>
  <c r="F47" i="4"/>
  <c r="I59" i="3"/>
  <c r="I5" i="3"/>
  <c r="I6" i="6"/>
  <c r="C13" i="3"/>
  <c r="I33" i="3"/>
  <c r="I28" i="3"/>
  <c r="E106" i="3"/>
  <c r="C79" i="3"/>
  <c r="G79" i="3"/>
  <c r="E90" i="3"/>
  <c r="G157" i="3"/>
  <c r="E157" i="3"/>
  <c r="B81" i="3"/>
  <c r="B77" i="3"/>
  <c r="I51" i="4"/>
  <c r="H51" i="4"/>
  <c r="G51" i="4"/>
  <c r="I7" i="3"/>
  <c r="B65" i="3"/>
  <c r="B61" i="3"/>
  <c r="B56" i="3"/>
  <c r="G111" i="3"/>
  <c r="E79" i="3"/>
  <c r="E84" i="3"/>
  <c r="G63" i="3"/>
  <c r="E86" i="3"/>
  <c r="G67" i="3"/>
  <c r="I79" i="3"/>
  <c r="I123" i="3"/>
  <c r="I124" i="3"/>
  <c r="I104" i="3"/>
  <c r="C42" i="3"/>
  <c r="C49" i="3"/>
  <c r="I112" i="3"/>
  <c r="I113" i="3"/>
  <c r="E116" i="3"/>
  <c r="E127" i="3"/>
  <c r="E128" i="3"/>
  <c r="E130" i="3"/>
  <c r="C50" i="3"/>
  <c r="I143" i="3"/>
  <c r="E117" i="3"/>
  <c r="E119" i="3"/>
  <c r="C43" i="3"/>
  <c r="I162" i="3"/>
  <c r="E196" i="3"/>
  <c r="I192" i="3"/>
  <c r="E197" i="3"/>
  <c r="G203" i="3"/>
  <c r="E198" i="3"/>
  <c r="G201" i="3"/>
  <c r="G207" i="3"/>
  <c r="G44" i="3"/>
  <c r="C207" i="3"/>
  <c r="C44" i="3"/>
  <c r="G208" i="3"/>
  <c r="G51" i="3"/>
  <c r="C208" i="3"/>
  <c r="C51" i="3"/>
  <c r="I176" i="3"/>
</calcChain>
</file>

<file path=xl/sharedStrings.xml><?xml version="1.0" encoding="utf-8"?>
<sst xmlns="http://schemas.openxmlformats.org/spreadsheetml/2006/main" count="331" uniqueCount="238">
  <si>
    <t>Yes</t>
  </si>
  <si>
    <t>No</t>
  </si>
  <si>
    <t>Marital Status</t>
  </si>
  <si>
    <t>Single</t>
  </si>
  <si>
    <t>Couple</t>
  </si>
  <si>
    <t>Couple - Living together</t>
  </si>
  <si>
    <t>Couple - separated by illness</t>
  </si>
  <si>
    <t>Home Ownership</t>
  </si>
  <si>
    <t>Home Owner/s</t>
  </si>
  <si>
    <t>Current Value of shares and other listed investments:</t>
  </si>
  <si>
    <t>Rate</t>
  </si>
  <si>
    <t>Homeowner</t>
  </si>
  <si>
    <t>Non-homeowner</t>
  </si>
  <si>
    <t>One partner eligible (combined assets)</t>
  </si>
  <si>
    <t>Full Pension (if assets less than)</t>
  </si>
  <si>
    <t>Part Pension (if assets between)</t>
  </si>
  <si>
    <t>No Pension (if assets more than)</t>
  </si>
  <si>
    <t xml:space="preserve"> you were born between</t>
  </si>
  <si>
    <t>you qualify for Age Pension at age</t>
  </si>
  <si>
    <t>1 July 1952 to 31 December 1953</t>
  </si>
  <si>
    <t>65 years and 6 months</t>
  </si>
  <si>
    <t>1 January 1954 to 30 June 1955</t>
  </si>
  <si>
    <t>66 years</t>
  </si>
  <si>
    <t>1 July 1955 to 31 December 1956</t>
  </si>
  <si>
    <t>66 years and 6 months</t>
  </si>
  <si>
    <t>From 1 January 1957</t>
  </si>
  <si>
    <t>67 years</t>
  </si>
  <si>
    <t>Age Pension Qualifying Age</t>
  </si>
  <si>
    <t>Category</t>
  </si>
  <si>
    <t>Full Offset Income Threshold</t>
  </si>
  <si>
    <t>Shade-Out Income Threshold</t>
  </si>
  <si>
    <t>Maximum Tax Offset Available</t>
  </si>
  <si>
    <t>You:</t>
  </si>
  <si>
    <t>Calculate today's date:</t>
  </si>
  <si>
    <t>before 1/7/1952</t>
  </si>
  <si>
    <t>from</t>
  </si>
  <si>
    <t>to</t>
  </si>
  <si>
    <t>years:</t>
  </si>
  <si>
    <t>Date of birth:</t>
  </si>
  <si>
    <t>Age now:</t>
  </si>
  <si>
    <t>D</t>
  </si>
  <si>
    <t>A</t>
  </si>
  <si>
    <t>T</t>
  </si>
  <si>
    <t>Age Pension enitlement age:</t>
  </si>
  <si>
    <t>If not yet pension age:</t>
  </si>
  <si>
    <t>If over pension age:</t>
  </si>
  <si>
    <t>Result:</t>
  </si>
  <si>
    <t>Home ownership</t>
  </si>
  <si>
    <t xml:space="preserve">Maximum Basic Pension Rate per fortnight </t>
  </si>
  <si>
    <t xml:space="preserve">Annualised Rate </t>
  </si>
  <si>
    <t>Full Pension: Up to:</t>
  </si>
  <si>
    <t>No Pension: More than:</t>
  </si>
  <si>
    <t>up to</t>
  </si>
  <si>
    <t>over</t>
  </si>
  <si>
    <t>Applicable Age Pension (pending assets test):</t>
  </si>
  <si>
    <t>Non-Home Owner/s</t>
  </si>
  <si>
    <t>Maximum Pension Supplement</t>
  </si>
  <si>
    <t>Energy Supplement</t>
  </si>
  <si>
    <t>Applicable Age Pension (pending income test):</t>
  </si>
  <si>
    <t>Find LOWEST rate = APPLICABLE AGE PENSION (including supplements)</t>
  </si>
  <si>
    <t>You are currently not eligible to receive the Age Pension</t>
  </si>
  <si>
    <t>Data:</t>
  </si>
  <si>
    <t>Minumum Pension Supplement</t>
  </si>
  <si>
    <t>Your Partner:</t>
  </si>
  <si>
    <t>Eligible? (over Age Pension Age)</t>
  </si>
  <si>
    <t>Eligible? (employment income)</t>
  </si>
  <si>
    <t>Summary: Eligible:</t>
  </si>
  <si>
    <t>Other Data:</t>
  </si>
  <si>
    <t>Work Bonus</t>
  </si>
  <si>
    <t>Total:</t>
  </si>
  <si>
    <t>Adjusted Employment Income (step 1)</t>
  </si>
  <si>
    <t>Adjusted Employment Income (final)</t>
  </si>
  <si>
    <t>For deemed assets up to</t>
  </si>
  <si>
    <t>For deemed assets over</t>
  </si>
  <si>
    <t>Single, Home Owner/s</t>
  </si>
  <si>
    <t>Couple - Living together, Home Owner/s</t>
  </si>
  <si>
    <t>Couple - Living together, Non-Home Owner/s</t>
  </si>
  <si>
    <t>Couple - separated by illness, Home Owner/s</t>
  </si>
  <si>
    <t>Couple - separated by illness, Non-Home Owner/s</t>
  </si>
  <si>
    <t>Single, Non-Home Owner/s</t>
  </si>
  <si>
    <t>CALCULATIONS (HIDDEN):</t>
  </si>
  <si>
    <t>Years:</t>
  </si>
  <si>
    <t>Months:</t>
  </si>
  <si>
    <t>Check if eligible?:</t>
  </si>
  <si>
    <t>Age Pension Qualifying Age:</t>
  </si>
  <si>
    <t>Eligibility criteria:</t>
  </si>
  <si>
    <t>Check Age eligibility:</t>
  </si>
  <si>
    <t>Your partner:</t>
  </si>
  <si>
    <t>Age Pension eligibility age</t>
  </si>
  <si>
    <t>Category:</t>
  </si>
  <si>
    <t>EACH</t>
  </si>
  <si>
    <t>COMBINED</t>
  </si>
  <si>
    <t>Category (For couples, figures are PER PERSON)</t>
  </si>
  <si>
    <t xml:space="preserve"> </t>
  </si>
  <si>
    <t>'</t>
  </si>
  <si>
    <t>In number format:</t>
  </si>
  <si>
    <t>Calculate deemed income (couple); per annum:</t>
  </si>
  <si>
    <t>per fortnight:</t>
  </si>
  <si>
    <t>Eligible for Work Bonus?</t>
  </si>
  <si>
    <t>Max Work Bonus, if eligible (per person)</t>
  </si>
  <si>
    <t>Adjust employmnent income for Work Bonus</t>
  </si>
  <si>
    <t>Work Bonus (if applic.):</t>
  </si>
  <si>
    <t>Calculate TOTAL INCOME (for couple)</t>
  </si>
  <si>
    <t>Calculate lowest rate from income vs assets test</t>
  </si>
  <si>
    <t>Age Pension:</t>
  </si>
  <si>
    <t>Overall eligibility</t>
  </si>
  <si>
    <t>rate per person:</t>
  </si>
  <si>
    <t>Conclusion statements:</t>
  </si>
  <si>
    <t>Yes, You</t>
  </si>
  <si>
    <t>No, You</t>
  </si>
  <si>
    <t>Yes, Your partner</t>
  </si>
  <si>
    <t>No, Your Partner</t>
  </si>
  <si>
    <t>Your partner is currently not eligible to receive the Age Pension</t>
  </si>
  <si>
    <t>FINAL DETERMINATION:</t>
  </si>
  <si>
    <t>Your date of birth (dd/mm/yyyy):</t>
  </si>
  <si>
    <t>Personal Details:</t>
  </si>
  <si>
    <t>Marital Status:</t>
  </si>
  <si>
    <t>Home Ownership:</t>
  </si>
  <si>
    <t>Aged Pension Eligibility Calculator</t>
  </si>
  <si>
    <t>Your Assets:</t>
  </si>
  <si>
    <t>Home Contents:</t>
  </si>
  <si>
    <t>Cars and Caravans:</t>
  </si>
  <si>
    <t>Motorbikes and boats:</t>
  </si>
  <si>
    <t>Super Pensions - pre Jan-2015:</t>
  </si>
  <si>
    <t>Your Investments</t>
  </si>
  <si>
    <t>(Deemed Assets):</t>
  </si>
  <si>
    <t>Your Results:</t>
  </si>
  <si>
    <t>Useful Data:</t>
  </si>
  <si>
    <t>Rate:</t>
  </si>
  <si>
    <t>Your income:</t>
  </si>
  <si>
    <t>Investment properties (net of any mortgage):</t>
  </si>
  <si>
    <t>Investment Property/ Real Estate Net Income:</t>
  </si>
  <si>
    <t>Income from outside Australia:</t>
  </si>
  <si>
    <t>Other Income, income streams:</t>
  </si>
  <si>
    <t>Total assets, less super funds:</t>
  </si>
  <si>
    <t>Assessable Super funds (if over pension age):</t>
  </si>
  <si>
    <t>Total assessable assets:</t>
  </si>
  <si>
    <t>value of assessable Super (ie if pension age)</t>
  </si>
  <si>
    <t>total deemed assets:</t>
  </si>
  <si>
    <t>Calculate income incl. work bonus eligibility</t>
  </si>
  <si>
    <t>Income:</t>
  </si>
  <si>
    <t>Total income per person (notional, divide total by 2 for couples):</t>
  </si>
  <si>
    <t>Does income exceed income free area?</t>
  </si>
  <si>
    <t>Apply Income test (as per Social Securities Act, Sect 1064)</t>
  </si>
  <si>
    <t>Calculate income excess</t>
  </si>
  <si>
    <t>Calculate MPR (Maximum Payment Rate), as per SSA Sect 1064:</t>
  </si>
  <si>
    <t>Applicable MAXIMUM BASIC RATE (MBR):</t>
  </si>
  <si>
    <t>Applicable Pension Supplement:</t>
  </si>
  <si>
    <t>Applicable Energy Supplement:</t>
  </si>
  <si>
    <t>Calculate MPR (Maximum Payment Rate):</t>
  </si>
  <si>
    <t>Calculate reduction for ordinary income:</t>
  </si>
  <si>
    <t>Calculate the income reduced rate (annual):</t>
  </si>
  <si>
    <t>Calculate the income reduced rate (fortnight):</t>
  </si>
  <si>
    <t>Applicable upper income threshold:</t>
  </si>
  <si>
    <t>Applicable lower Income threshold (income free area):</t>
  </si>
  <si>
    <t>Does income exceed upper threshold?</t>
  </si>
  <si>
    <t>Eligible?</t>
  </si>
  <si>
    <t>Apply Assets test (as per Social Securities Act, Sect 1064)</t>
  </si>
  <si>
    <t>Total assets per person (notional, divide total by 2 for couples):</t>
  </si>
  <si>
    <t>Applicable upper assets threshold:</t>
  </si>
  <si>
    <t>Does assets exceed assets free area?</t>
  </si>
  <si>
    <t>Does assets exceed upper threshold?</t>
  </si>
  <si>
    <t>Calculate assets excess</t>
  </si>
  <si>
    <t>Calculate reduction for ordinary assets:</t>
  </si>
  <si>
    <t>Calculate the assets reduced rate (fortnight):</t>
  </si>
  <si>
    <t>Applicable lower assets threshold (assets free area):</t>
  </si>
  <si>
    <t>Value of deemed assets excluding Super:</t>
  </si>
  <si>
    <t>Total
(Combined if Couple)</t>
  </si>
  <si>
    <t>Marital Status toggle value:</t>
  </si>
  <si>
    <t>Home ownership toggle value:</t>
  </si>
  <si>
    <t>TOTAL Assets:</t>
  </si>
  <si>
    <t>Bank account deposits:</t>
  </si>
  <si>
    <t>Loans:</t>
  </si>
  <si>
    <t>Allocated Pensions and Annuities:</t>
  </si>
  <si>
    <t>Superannuation Funds:</t>
  </si>
  <si>
    <t>Other interest-earning assets:</t>
  </si>
  <si>
    <t>TOTAL Investments:</t>
  </si>
  <si>
    <t>TOTAL Income:</t>
  </si>
  <si>
    <t>(Not Deemed):</t>
  </si>
  <si>
    <t>Last Update:</t>
  </si>
  <si>
    <r>
      <rPr>
        <b/>
        <sz val="14"/>
        <color theme="0"/>
        <rFont val="Arial"/>
        <family val="2"/>
      </rPr>
      <t>8. Applicable Laws</t>
    </r>
    <r>
      <rPr>
        <sz val="12"/>
        <color theme="0"/>
        <rFont val="Arial"/>
        <family val="2"/>
      </rPr>
      <t xml:space="preserve">
These Terms of Use are governed by the law in force in the State of Victoria, Australia, and the parties irrevocably submit to the non-exclusive jurisdiction of the courts of Victoria and courts of appeal from them for determining any dispute concerning the Terms of Use.
</t>
    </r>
  </si>
  <si>
    <r>
      <t>The conditions below specify the basis upon which you may use the spreadsheet in legal terms.
To summarise, however, we have constructed the spreadsheet as a free tool for individuals and families approaching retirement to assess whether they would be eligible for the Age pension. The intention is that the tool would assist them in discussions with either Centrelink or their own financial advisors, and it is not intended as replacing the need for specific advice. There is an unfortunate degree of complexity attaching to the calculation of age pension entitlements, and whilst we will make every effort to update the spreadsheets and test its accuracy, we do</t>
    </r>
    <r>
      <rPr>
        <b/>
        <sz val="12"/>
        <color theme="0"/>
        <rFont val="Arial"/>
        <family val="2"/>
      </rPr>
      <t xml:space="preserve"> not</t>
    </r>
    <r>
      <rPr>
        <sz val="12"/>
        <color theme="0"/>
        <rFont val="Arial"/>
        <family val="2"/>
      </rPr>
      <t xml:space="preserve"> provide any guarantees or warranties in that regard.
This spreadsheet has not been constructed for free use within a commercial environment. Professionals who would nevertheless like to use the spreadsheet are asked to contact us accordingly. Additionally, any modification of the spreadsheet is prohibited.</t>
    </r>
  </si>
  <si>
    <r>
      <rPr>
        <b/>
        <sz val="14"/>
        <color theme="0"/>
        <rFont val="Arial"/>
        <family val="2"/>
      </rPr>
      <t xml:space="preserve">1. Introduction and Acceptance of Terms of Use
</t>
    </r>
    <r>
      <rPr>
        <sz val="12"/>
        <color theme="0"/>
        <rFont val="Arial"/>
        <family val="2"/>
      </rPr>
      <t xml:space="preserve">
The Complete Retirement Group Pty Ltd (CRG) has constructed this spreadsheet on the premise that it will be used by individuals on a non-commercial basis to assist in determining their eligibility for an Australian age pension. By using this spreadsheet, you are agreeing to accept and comply with the terms and conditions of use as stated below ("Terms of Use"), which CRG may update at any time without notice. You should visit simplyretirement.com.au periodically to ensure that you have a current version of the spreadsheet when assessing eligibility. Please note that CRG may, at its sole discretion, terminate your access to this spreadsheet at any time without notice.</t>
    </r>
  </si>
  <si>
    <r>
      <rPr>
        <b/>
        <sz val="14"/>
        <color theme="0"/>
        <rFont val="Arial"/>
        <family val="2"/>
      </rPr>
      <t>2. Limited Right to Use</t>
    </r>
    <r>
      <rPr>
        <sz val="12"/>
        <color theme="0"/>
        <rFont val="Arial"/>
        <family val="2"/>
      </rPr>
      <t xml:space="preserve">
This spreadsheet is a property of CRG and is protected by the copyright laws of Australia and, throughout the world by the applicable copyright laws. You may use, view, print and/or download this spreadsheet at your complete discretion but it may only be used for your personal, informational, non-commercial use, provided you keep intact all copyright and other proprietary notices. No materials or other intellectual property included within the spreadsheet may, in whole or in part, be copied, reproduced, modified, republished, uploaded, posted, transmitted, or distributed in any form or by any means without prior written permission from CRG. 
The use of the spreadsheet within a commercial environment, whether for profit or otherwise, without prior approval in writing from CRG, is strictly forbidden.
No changes, modifications, alterations or amendments to the spreadsheet may occur without prior approval in writing from CRG.</t>
    </r>
  </si>
  <si>
    <r>
      <rPr>
        <b/>
        <sz val="14"/>
        <color theme="0"/>
        <rFont val="Arial"/>
        <family val="2"/>
      </rPr>
      <t>3. Links to Other Sites</t>
    </r>
    <r>
      <rPr>
        <sz val="12"/>
        <color theme="0"/>
        <rFont val="Arial"/>
        <family val="2"/>
      </rPr>
      <t xml:space="preserve">
The spreadsheet may contain links to websites which are under the control of CRG, or otherwise. These links are intended as providing general information to you and in no way should they be interpreted as providing advice specific to your situation, or as an endorsement of any company, content or products to which it links. 
CRG DISCLAIMS ANY AND ALL WARRANTIES, EXPRESS OR IMPLIED, TO ANY SUCH LINKED SITES, INCLUDING BUT NOT LIMITED TO ANY TERMS AS TO THE ACCURACY, OWNERSHIP, VALIDITY OR LEGALITY OF ANY CONTENT OF A LINKED SITE.</t>
    </r>
  </si>
  <si>
    <r>
      <rPr>
        <b/>
        <sz val="14"/>
        <color theme="0"/>
        <rFont val="Arial"/>
        <family val="2"/>
      </rPr>
      <t>4. Trademarks</t>
    </r>
    <r>
      <rPr>
        <sz val="12"/>
        <color theme="0"/>
        <rFont val="Arial"/>
        <family val="2"/>
      </rPr>
      <t xml:space="preserve">
The trademarks, service marks and logos of CRG and others used in this web site ("Trademarks") are the property of CRG and their respective owners. You have no right to use any such Trademarks, and nothing contained in this web site or the Terms of Use grants any right to use (by implication, waiver, estoppel or otherwise) any Trademarks without the prior written permission of CRG or the respective owner.</t>
    </r>
  </si>
  <si>
    <r>
      <rPr>
        <b/>
        <sz val="14"/>
        <color theme="0"/>
        <rFont val="Arial"/>
        <family val="2"/>
      </rPr>
      <t>5. Indemnity</t>
    </r>
    <r>
      <rPr>
        <sz val="12"/>
        <color theme="0"/>
        <rFont val="Arial"/>
        <family val="2"/>
      </rPr>
      <t xml:space="preserve">
You agree to indemnify, defend and hold CRG harmless from and against any and all third party claims, liabilities, damages, losses or expenses (including reasonable legal fees and costs) arising out of, based on or in connection with your use of this spreadsheet in.</t>
    </r>
  </si>
  <si>
    <r>
      <rPr>
        <b/>
        <sz val="14"/>
        <color theme="0"/>
        <rFont val="Arial"/>
        <family val="2"/>
      </rPr>
      <t>6. Limitation of Liability</t>
    </r>
    <r>
      <rPr>
        <sz val="12"/>
        <color theme="0"/>
        <rFont val="Arial"/>
        <family val="2"/>
      </rPr>
      <t xml:space="preserve">
IN NO EVENT SHALL CRG BE LIABLE FOR ANY DIRECT, INDIRECT, SPECIAL, INCIDENTAL OR CONSEQUENTIAL DAMAGES INCLUDING, WITHOUT LIMITATION, LOSS PROFITS OR REVENUES, COSTS OF REPLACEMENT GOODS, LOSS OR DAMAGE TO DATA ARISING OUT OF THE USE OR INABILITY TO USE THIS SPREADSHEET OR ANY LINKED SITE, DAMAGES RESULTING FROM USE OF OR RELIANCE ON THE INFORMATION OR MATERIALS PRESENTED ON THIS WEB SITE, WHETHER BASED ON WARRANTY, CONTRACT, TORT OR ANY OTHER LEGAL THEORY EVEN IF CRG OR ITS SUPPLIERS HAVE BEEN ADVISED OF THE POSSIBILITY OF SUCH DAMAGES.</t>
    </r>
  </si>
  <si>
    <t>Terms of Use/ Disclaimer</t>
  </si>
  <si>
    <r>
      <rPr>
        <b/>
        <sz val="14"/>
        <color theme="0"/>
        <rFont val="Arial"/>
        <family val="2"/>
      </rPr>
      <t>9. General</t>
    </r>
    <r>
      <rPr>
        <sz val="12"/>
        <color theme="0"/>
        <rFont val="Arial"/>
        <family val="2"/>
      </rPr>
      <t xml:space="preserve">
If you have any questions regarding the Terms of Use, please contact CRG via our </t>
    </r>
    <r>
      <rPr>
        <u/>
        <sz val="12"/>
        <color theme="0"/>
        <rFont val="Arial"/>
        <family val="2"/>
      </rPr>
      <t>Contact Page</t>
    </r>
  </si>
  <si>
    <r>
      <rPr>
        <b/>
        <sz val="14"/>
        <color theme="0"/>
        <rFont val="Arial"/>
        <family val="2"/>
      </rPr>
      <t>7. Disclaimer</t>
    </r>
    <r>
      <rPr>
        <sz val="12"/>
        <color theme="0"/>
        <rFont val="Arial"/>
        <family val="2"/>
      </rPr>
      <t xml:space="preserve">
Complete Retirement Group Pty Ltd assumes no responsibility for accuracy, correctness, timeliness, or content of the Materials provided on this web site. You should NOT assume that the spreadsheet are continuously updated or otherwise contain current information. THE SPREADSHEET IS PROVIDED "AS IS" AND ANY WARRANTY (EXPRESS OR IMPLIED), CONDITION OR OTHER TERM OF ANY KIND, INCLUDING WITHOUT LIMITATION, ANY WARRANTY OF MERCHANTABILITY, FITNESS FOR A PARTICULAR PURPOSE, NON-INFRINGEMENT OR TITLE IS HEREBY EXCLUDED.</t>
    </r>
  </si>
  <si>
    <t>Enter your Details in the "white" cells:</t>
  </si>
  <si>
    <t>Today's Date:</t>
  </si>
  <si>
    <t>You are eligible to receive the Age Pension, at a value of approximately:
(per fortnight, including Pension and Energy Supplement)</t>
  </si>
  <si>
    <t xml:space="preserve">  </t>
  </si>
  <si>
    <t>Your partner is eligible to receive the Age Pension, at a value of approximately:
(per fortnight, including Pension and Energy Supplement)</t>
  </si>
  <si>
    <t>Work bonus eligibility summary:</t>
  </si>
  <si>
    <t>(If blank, then do not qualify)</t>
  </si>
  <si>
    <t>Header:</t>
  </si>
  <si>
    <t>Note:</t>
  </si>
  <si>
    <t>- upper increases quarterly</t>
  </si>
  <si>
    <t>- lower increases once a year, in july</t>
  </si>
  <si>
    <t>a</t>
  </si>
  <si>
    <t>(Annual):</t>
  </si>
  <si>
    <t>Full Pension (if income less than):</t>
  </si>
  <si>
    <t>Part Pension (if income between):</t>
  </si>
  <si>
    <t>No Pension (if income more than):</t>
  </si>
  <si>
    <t>No Pension (if assets more than):</t>
  </si>
  <si>
    <t>Part Pension (if assets between):</t>
  </si>
  <si>
    <t>Full Pension (if assets less than):</t>
  </si>
  <si>
    <t>- both uper and lower updated, in july</t>
  </si>
  <si>
    <t>last update:</t>
  </si>
  <si>
    <t>Part Pension (NOTE: Pension reduced by 50c/$ over min threshold)</t>
  </si>
  <si>
    <t>Employment Income/ Wages (Gross):</t>
  </si>
  <si>
    <t>change every March and September</t>
  </si>
  <si>
    <t>Until 30 December 2024</t>
  </si>
  <si>
    <t>Updated Jan 2024</t>
  </si>
  <si>
    <t>If eligible:</t>
  </si>
  <si>
    <t>Please note, this calculator cannot allow for work bonus income you may have accrued in the “work bonus bank” through unused work bonus allowances (where you may be eligible for an additional work bonus credit of up to $4000). Please check with Centrelink if you think this may apply to you.</t>
  </si>
  <si>
    <t>Please note, this calculator cannot allow for work bonus income your partner may have accrued in the “work bonus bank” through unused work bonus allowances (where your partner may be eligible for an additional work bonus credit of up to $4000). Please check with Centrelink if you think this may apply to your partner.</t>
  </si>
  <si>
    <t>$481,500 and $1,059,000</t>
  </si>
  <si>
    <t>SAPTO thresholds for 2024/2025 year</t>
  </si>
  <si>
    <t>20 Sept 2025</t>
  </si>
  <si>
    <t>Deeming thresholds and rates effective 20 September 2025 until 19 September 2026</t>
  </si>
  <si>
    <t>updated 20Sep2025</t>
  </si>
  <si>
    <t>Between $218 and $2,575.40</t>
  </si>
  <si>
    <t>sep 25</t>
  </si>
  <si>
    <t>Between $380 and $3,934.00</t>
  </si>
  <si>
    <t>Between $380 and $5094.8</t>
  </si>
  <si>
    <t>The asset limits for the Pension Asset test, effective 20 September 2025, are as follows:</t>
  </si>
  <si>
    <t>The income limits for the Pension Income Test, effective 20 September 2025 are as follows (fortnightly income figures shown):</t>
  </si>
  <si>
    <t>$321,500 and $714,500</t>
  </si>
  <si>
    <t>$579,500 and $972,500</t>
  </si>
  <si>
    <t>$481,500 and $1,074,000</t>
  </si>
  <si>
    <t>$739,500 and $1,332,000</t>
  </si>
  <si>
    <t>$481,500 and $1,267,500</t>
  </si>
  <si>
    <t>$739,500 and $1,525,500</t>
  </si>
  <si>
    <t>Basic Age Pension Rates, effective 20 September 2025 (per fortnight)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</si>
</sst>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C09]#,##0"/>
    <numFmt numFmtId="165" formatCode="_([$$-409]* #,##0.00_);_([$$-409]* \(#,##0.00\);_([$$-409]* &quot;-&quot;??_);_(@_)"/>
    <numFmt numFmtId="166" formatCode="0.000"/>
    <numFmt numFmtId="167" formatCode="[$$-C09]#,##0.00"/>
    <numFmt numFmtId="168" formatCode="_([$$-409]* #,##0_);_([$$-409]* \(#,##0\);_([$$-409]* &quot;-&quot;_);_(@_)"/>
  </numFmts>
  <fonts count="30">
    <font>
      <sz val="12"/>
      <color theme="1"/>
      <name val="Calibri"/>
      <family val="2"/>
      <scheme val="minor"/>
    </font>
    <font>
      <u/>
      <sz val="12"/>
      <color theme="10"/>
      <name val="Calibri"/>
      <family val="2"/>
      <scheme val="minor"/>
    </font>
    <font>
      <u/>
      <sz val="12"/>
      <color theme="11"/>
      <name val="Calibri"/>
      <family val="2"/>
      <scheme val="minor"/>
    </font>
    <font>
      <b/>
      <sz val="16"/>
      <color theme="0"/>
      <name val="Calibri"/>
      <family val="2"/>
      <scheme val="minor"/>
    </font>
    <font>
      <b/>
      <sz val="12"/>
      <color theme="1"/>
      <name val="Arial"/>
      <family val="2"/>
    </font>
    <font>
      <b/>
      <sz val="10"/>
      <color theme="1"/>
      <name val="Arial"/>
      <family val="2"/>
    </font>
    <font>
      <sz val="10"/>
      <color theme="1"/>
      <name val="ArialMT"/>
    </font>
    <font>
      <sz val="12"/>
      <name val="Calibri"/>
      <family val="2"/>
      <scheme val="minor"/>
    </font>
    <font>
      <sz val="8"/>
      <name val="Calibri"/>
      <family val="2"/>
      <scheme val="minor"/>
    </font>
    <font>
      <sz val="12"/>
      <color theme="1"/>
      <name val="Arial"/>
      <family val="2"/>
    </font>
    <font>
      <sz val="12"/>
      <color theme="0"/>
      <name val="Arial"/>
      <family val="2"/>
    </font>
    <font>
      <sz val="12"/>
      <name val="Arial"/>
      <family val="2"/>
    </font>
    <font>
      <sz val="10"/>
      <color theme="1"/>
      <name val="Arial"/>
      <family val="2"/>
    </font>
    <font>
      <sz val="14"/>
      <color rgb="FFCC0000"/>
      <name val="Arial"/>
      <family val="2"/>
    </font>
    <font>
      <sz val="14"/>
      <color theme="0"/>
      <name val="Arial"/>
      <family val="2"/>
    </font>
    <font>
      <sz val="12"/>
      <color theme="3" tint="0.79998168889431442"/>
      <name val="Arial"/>
      <family val="2"/>
    </font>
    <font>
      <sz val="18"/>
      <color rgb="FFCC0000"/>
      <name val="Arial"/>
      <family val="2"/>
    </font>
    <font>
      <b/>
      <sz val="16"/>
      <color rgb="FFCC0000"/>
      <name val="Arial"/>
      <family val="2"/>
    </font>
    <font>
      <sz val="14"/>
      <color theme="4" tint="-0.249977111117893"/>
      <name val="Arial"/>
      <family val="2"/>
    </font>
    <font>
      <sz val="12"/>
      <color theme="4" tint="-0.249977111117893"/>
      <name val="Arial"/>
      <family val="2"/>
    </font>
    <font>
      <b/>
      <sz val="12"/>
      <name val="Arial"/>
      <family val="2"/>
    </font>
    <font>
      <sz val="16"/>
      <color theme="1"/>
      <name val="Calibri"/>
      <family val="2"/>
      <scheme val="minor"/>
    </font>
    <font>
      <b/>
      <sz val="12"/>
      <color theme="0"/>
      <name val="Arial"/>
      <family val="2"/>
    </font>
    <font>
      <sz val="16"/>
      <color theme="0"/>
      <name val="Calibri"/>
      <family val="2"/>
      <scheme val="minor"/>
    </font>
    <font>
      <b/>
      <sz val="14"/>
      <color theme="0"/>
      <name val="Arial"/>
      <family val="2"/>
    </font>
    <font>
      <u/>
      <sz val="12"/>
      <color theme="0"/>
      <name val="Calibri"/>
      <family val="2"/>
      <scheme val="minor"/>
    </font>
    <font>
      <u/>
      <sz val="12"/>
      <color theme="0"/>
      <name val="Arial"/>
      <family val="2"/>
    </font>
    <font>
      <sz val="14"/>
      <color rgb="FFCC3333"/>
      <name val="Arial"/>
      <family val="2"/>
    </font>
    <font>
      <sz val="14"/>
      <color theme="1"/>
      <name val="Arial"/>
      <family val="2"/>
    </font>
    <font>
      <b/>
      <sz val="16"/>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6600"/>
        <bgColor indexed="64"/>
      </patternFill>
    </fill>
    <fill>
      <patternFill patternType="solid">
        <fgColor theme="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bgColor indexed="64"/>
      </patternFill>
    </fill>
    <fill>
      <patternFill patternType="solid">
        <fgColor theme="3" tint="-0.249977111117893"/>
        <bgColor indexed="64"/>
      </patternFill>
    </fill>
    <fill>
      <patternFill patternType="solid">
        <fgColor rgb="FFCC0033"/>
        <bgColor indexed="64"/>
      </patternFill>
    </fill>
    <fill>
      <patternFill patternType="solid">
        <fgColor rgb="FFFFCCCC"/>
        <bgColor indexed="64"/>
      </patternFill>
    </fill>
    <fill>
      <patternFill patternType="solid">
        <fgColor rgb="FFCCFF99"/>
        <bgColor indexed="64"/>
      </patternFill>
    </fill>
    <fill>
      <patternFill patternType="solid">
        <fgColor rgb="FF92D050"/>
        <bgColor indexed="64"/>
      </patternFill>
    </fill>
    <fill>
      <patternFill patternType="solid">
        <fgColor rgb="FFFFC000"/>
        <bgColor indexed="64"/>
      </patternFill>
    </fill>
    <fill>
      <patternFill patternType="solid">
        <fgColor theme="2" tint="-0.249977111117893"/>
        <bgColor indexed="64"/>
      </patternFill>
    </fill>
    <fill>
      <patternFill patternType="solid">
        <fgColor theme="5"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right/>
      <top/>
      <bottom style="double">
        <color auto="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top style="thin">
        <color auto="1"/>
      </top>
      <bottom style="double">
        <color auto="1"/>
      </bottom>
      <diagonal/>
    </border>
    <border>
      <left style="medium">
        <color theme="3"/>
      </left>
      <right style="medium">
        <color theme="3"/>
      </right>
      <top style="medium">
        <color theme="3"/>
      </top>
      <bottom style="medium">
        <color theme="3"/>
      </bottom>
      <diagonal/>
    </border>
    <border>
      <left style="medium">
        <color theme="5"/>
      </left>
      <right style="medium">
        <color theme="5"/>
      </right>
      <top/>
      <bottom style="medium">
        <color theme="5"/>
      </bottom>
      <diagonal/>
    </border>
  </borders>
  <cellStyleXfs count="30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98">
    <xf numFmtId="0" fontId="0" fillId="0" borderId="0" xfId="0"/>
    <xf numFmtId="0" fontId="0" fillId="3" borderId="1" xfId="0" applyFill="1" applyBorder="1"/>
    <xf numFmtId="10" fontId="0" fillId="5" borderId="1" xfId="0" applyNumberFormat="1" applyFill="1" applyBorder="1"/>
    <xf numFmtId="0" fontId="0" fillId="6" borderId="1" xfId="0" applyFill="1" applyBorder="1" applyAlignment="1">
      <alignment wrapText="1"/>
    </xf>
    <xf numFmtId="0" fontId="0" fillId="7" borderId="1" xfId="0" applyFill="1" applyBorder="1" applyAlignment="1">
      <alignment wrapText="1"/>
    </xf>
    <xf numFmtId="0" fontId="0" fillId="8" borderId="1" xfId="0" applyFill="1" applyBorder="1" applyAlignment="1">
      <alignment wrapText="1"/>
    </xf>
    <xf numFmtId="0" fontId="0" fillId="9" borderId="1" xfId="0" applyFill="1" applyBorder="1" applyAlignment="1">
      <alignment wrapText="1"/>
    </xf>
    <xf numFmtId="0" fontId="0" fillId="10" borderId="1" xfId="0" applyFill="1" applyBorder="1" applyAlignment="1">
      <alignment wrapText="1"/>
    </xf>
    <xf numFmtId="0" fontId="0" fillId="11" borderId="1" xfId="0" applyFill="1" applyBorder="1" applyAlignment="1">
      <alignment wrapText="1"/>
    </xf>
    <xf numFmtId="0" fontId="0" fillId="5" borderId="1" xfId="0" applyFill="1" applyBorder="1" applyAlignment="1">
      <alignment wrapText="1"/>
    </xf>
    <xf numFmtId="0" fontId="0" fillId="12" borderId="1" xfId="0" applyFill="1" applyBorder="1" applyAlignment="1">
      <alignment wrapText="1"/>
    </xf>
    <xf numFmtId="0" fontId="0" fillId="9" borderId="0" xfId="0" applyFill="1" applyAlignment="1">
      <alignment wrapText="1"/>
    </xf>
    <xf numFmtId="2" fontId="0" fillId="0" borderId="0" xfId="0" applyNumberFormat="1"/>
    <xf numFmtId="0" fontId="0" fillId="9" borderId="0" xfId="0" applyFill="1" applyAlignment="1">
      <alignment horizontal="right" wrapText="1"/>
    </xf>
    <xf numFmtId="0" fontId="0" fillId="13" borderId="0" xfId="0" applyFill="1"/>
    <xf numFmtId="0" fontId="3" fillId="13" borderId="0" xfId="0" applyFont="1" applyFill="1" applyAlignment="1">
      <alignment horizontal="center"/>
    </xf>
    <xf numFmtId="165" fontId="0" fillId="7" borderId="1" xfId="0" applyNumberFormat="1" applyFill="1" applyBorder="1" applyAlignment="1">
      <alignment wrapText="1"/>
    </xf>
    <xf numFmtId="165" fontId="0" fillId="5" borderId="1" xfId="0" applyNumberFormat="1" applyFill="1" applyBorder="1" applyAlignment="1">
      <alignment wrapText="1"/>
    </xf>
    <xf numFmtId="165" fontId="0" fillId="5" borderId="1" xfId="0" applyNumberFormat="1" applyFill="1" applyBorder="1"/>
    <xf numFmtId="0" fontId="0" fillId="13" borderId="0" xfId="0" applyFill="1" applyAlignment="1">
      <alignment horizontal="right"/>
    </xf>
    <xf numFmtId="0" fontId="4" fillId="13" borderId="0" xfId="0" applyFont="1" applyFill="1"/>
    <xf numFmtId="0" fontId="6" fillId="13" borderId="0" xfId="0" applyFont="1" applyFill="1" applyAlignment="1">
      <alignment vertical="center" wrapText="1"/>
    </xf>
    <xf numFmtId="0" fontId="0" fillId="13" borderId="1" xfId="0" applyFill="1" applyBorder="1" applyAlignment="1">
      <alignment wrapText="1"/>
    </xf>
    <xf numFmtId="0" fontId="0" fillId="6" borderId="2" xfId="0" applyFill="1" applyBorder="1" applyAlignment="1">
      <alignment vertical="center" wrapText="1"/>
    </xf>
    <xf numFmtId="0" fontId="0" fillId="6" borderId="1" xfId="0" applyFill="1" applyBorder="1" applyAlignment="1">
      <alignment vertical="center" wrapText="1"/>
    </xf>
    <xf numFmtId="0" fontId="6" fillId="7" borderId="1" xfId="0" applyFont="1" applyFill="1" applyBorder="1" applyAlignment="1">
      <alignment vertical="center" wrapText="1"/>
    </xf>
    <xf numFmtId="0" fontId="6" fillId="0" borderId="1" xfId="0" applyFont="1" applyBorder="1" applyAlignment="1">
      <alignment vertical="center" wrapText="1"/>
    </xf>
    <xf numFmtId="0" fontId="7" fillId="13" borderId="0" xfId="0" applyFont="1" applyFill="1" applyAlignment="1">
      <alignment vertical="center"/>
    </xf>
    <xf numFmtId="0" fontId="5" fillId="6" borderId="2" xfId="0" quotePrefix="1" applyFont="1" applyFill="1" applyBorder="1" applyAlignment="1">
      <alignment vertical="center" wrapText="1"/>
    </xf>
    <xf numFmtId="0" fontId="0" fillId="0" borderId="0" xfId="0" quotePrefix="1"/>
    <xf numFmtId="0" fontId="5" fillId="6" borderId="1" xfId="0" quotePrefix="1" applyFont="1" applyFill="1" applyBorder="1" applyAlignment="1">
      <alignment vertical="center" wrapText="1"/>
    </xf>
    <xf numFmtId="0" fontId="9" fillId="0" borderId="0" xfId="0" applyFont="1" applyAlignment="1">
      <alignment vertical="center"/>
    </xf>
    <xf numFmtId="0" fontId="9" fillId="7" borderId="0" xfId="0" applyFont="1" applyFill="1"/>
    <xf numFmtId="0" fontId="9" fillId="0" borderId="0" xfId="0" applyFont="1"/>
    <xf numFmtId="0" fontId="9" fillId="0" borderId="0" xfId="0" applyFont="1" applyAlignment="1">
      <alignment horizontal="left"/>
    </xf>
    <xf numFmtId="14" fontId="9" fillId="11" borderId="0" xfId="0" applyNumberFormat="1" applyFont="1" applyFill="1"/>
    <xf numFmtId="0" fontId="9" fillId="0" borderId="0" xfId="0" applyFont="1" applyAlignment="1">
      <alignment horizontal="right" vertical="center"/>
    </xf>
    <xf numFmtId="2" fontId="9" fillId="11" borderId="0" xfId="0" applyNumberFormat="1" applyFont="1" applyFill="1"/>
    <xf numFmtId="0" fontId="9" fillId="11" borderId="0" xfId="0" applyFont="1" applyFill="1" applyAlignment="1">
      <alignment vertical="center"/>
    </xf>
    <xf numFmtId="166" fontId="9" fillId="11" borderId="0" xfId="0" applyNumberFormat="1" applyFont="1" applyFill="1"/>
    <xf numFmtId="2" fontId="9" fillId="0" borderId="0" xfId="0" applyNumberFormat="1" applyFont="1"/>
    <xf numFmtId="1" fontId="9" fillId="11" borderId="0" xfId="0" applyNumberFormat="1" applyFont="1" applyFill="1"/>
    <xf numFmtId="166" fontId="9" fillId="0" borderId="0" xfId="0" applyNumberFormat="1" applyFont="1"/>
    <xf numFmtId="0" fontId="9" fillId="11" borderId="0" xfId="0" applyFont="1" applyFill="1"/>
    <xf numFmtId="0" fontId="9" fillId="15" borderId="0" xfId="0" applyFont="1" applyFill="1"/>
    <xf numFmtId="165" fontId="9" fillId="11" borderId="0" xfId="0" applyNumberFormat="1" applyFont="1" applyFill="1"/>
    <xf numFmtId="0" fontId="9" fillId="0" borderId="0" xfId="0" applyFont="1" applyAlignment="1">
      <alignment horizontal="right"/>
    </xf>
    <xf numFmtId="165" fontId="9" fillId="15" borderId="0" xfId="0" applyNumberFormat="1" applyFont="1" applyFill="1"/>
    <xf numFmtId="0" fontId="9" fillId="0" borderId="0" xfId="0" applyFont="1" applyAlignment="1">
      <alignment horizontal="right" wrapText="1"/>
    </xf>
    <xf numFmtId="0" fontId="9" fillId="3" borderId="0" xfId="0" applyFont="1" applyFill="1"/>
    <xf numFmtId="165" fontId="9" fillId="3" borderId="0" xfId="0" applyNumberFormat="1" applyFont="1" applyFill="1"/>
    <xf numFmtId="0" fontId="9" fillId="15" borderId="0" xfId="0" applyFont="1" applyFill="1" applyAlignment="1">
      <alignment vertical="center"/>
    </xf>
    <xf numFmtId="164" fontId="9" fillId="11" borderId="0" xfId="0" applyNumberFormat="1" applyFont="1" applyFill="1"/>
    <xf numFmtId="0" fontId="9" fillId="14" borderId="0" xfId="0" applyFont="1" applyFill="1"/>
    <xf numFmtId="0" fontId="9" fillId="15" borderId="0" xfId="0" applyFont="1" applyFill="1" applyAlignment="1">
      <alignment horizontal="right"/>
    </xf>
    <xf numFmtId="0" fontId="10" fillId="16" borderId="0" xfId="0" applyFont="1" applyFill="1" applyAlignment="1">
      <alignment horizontal="right" vertical="center"/>
    </xf>
    <xf numFmtId="0" fontId="9" fillId="6" borderId="0" xfId="0" applyFont="1" applyFill="1" applyAlignment="1">
      <alignment vertical="center"/>
    </xf>
    <xf numFmtId="14" fontId="9" fillId="6" borderId="0" xfId="0" applyNumberFormat="1" applyFont="1" applyFill="1" applyAlignment="1">
      <alignment horizontal="center" vertical="center"/>
    </xf>
    <xf numFmtId="0" fontId="9" fillId="17" borderId="0" xfId="0" applyFont="1" applyFill="1" applyAlignment="1">
      <alignment vertical="center"/>
    </xf>
    <xf numFmtId="0" fontId="13" fillId="17" borderId="0" xfId="0" applyFont="1" applyFill="1" applyAlignment="1">
      <alignment horizontal="right" vertical="center"/>
    </xf>
    <xf numFmtId="0" fontId="14" fillId="18" borderId="0" xfId="0" applyFont="1" applyFill="1" applyAlignment="1">
      <alignment vertical="center"/>
    </xf>
    <xf numFmtId="14" fontId="9" fillId="17" borderId="0" xfId="0" applyNumberFormat="1" applyFont="1" applyFill="1" applyAlignment="1">
      <alignment horizontal="center" vertical="center"/>
    </xf>
    <xf numFmtId="0" fontId="16" fillId="17" borderId="0" xfId="0" applyFont="1" applyFill="1" applyAlignment="1">
      <alignment horizontal="right" vertical="center"/>
    </xf>
    <xf numFmtId="0" fontId="5" fillId="6" borderId="0" xfId="0" applyFont="1" applyFill="1" applyAlignment="1">
      <alignment vertical="center" wrapText="1"/>
    </xf>
    <xf numFmtId="0" fontId="10" fillId="16" borderId="0" xfId="0" applyFont="1" applyFill="1" applyAlignment="1">
      <alignment horizontal="center" vertical="center"/>
    </xf>
    <xf numFmtId="0" fontId="10" fillId="6" borderId="0" xfId="0" applyFont="1" applyFill="1" applyAlignment="1">
      <alignment horizontal="right" vertical="center"/>
    </xf>
    <xf numFmtId="164" fontId="9" fillId="6" borderId="0" xfId="0" applyNumberFormat="1" applyFont="1" applyFill="1" applyAlignment="1">
      <alignment vertical="center"/>
    </xf>
    <xf numFmtId="164" fontId="10" fillId="6" borderId="0" xfId="0" applyNumberFormat="1" applyFont="1" applyFill="1" applyAlignment="1">
      <alignment vertical="center"/>
    </xf>
    <xf numFmtId="0" fontId="9" fillId="6" borderId="0" xfId="0" quotePrefix="1" applyFont="1" applyFill="1" applyAlignment="1">
      <alignment horizontal="center" vertical="center"/>
    </xf>
    <xf numFmtId="164" fontId="11" fillId="6" borderId="0" xfId="0" applyNumberFormat="1" applyFont="1" applyFill="1" applyAlignment="1">
      <alignment vertical="center"/>
    </xf>
    <xf numFmtId="0" fontId="17" fillId="17" borderId="0" xfId="0" applyFont="1" applyFill="1" applyAlignment="1">
      <alignment horizontal="left" vertical="center"/>
    </xf>
    <xf numFmtId="0" fontId="14" fillId="19" borderId="4" xfId="0" applyFont="1" applyFill="1" applyBorder="1" applyAlignment="1">
      <alignment horizontal="left" vertical="center"/>
    </xf>
    <xf numFmtId="0" fontId="11" fillId="20" borderId="5" xfId="0" applyFont="1" applyFill="1" applyBorder="1" applyAlignment="1">
      <alignment horizontal="right" vertical="center"/>
    </xf>
    <xf numFmtId="0" fontId="11" fillId="20" borderId="6" xfId="0" applyFont="1" applyFill="1" applyBorder="1" applyAlignment="1">
      <alignment vertical="center"/>
    </xf>
    <xf numFmtId="0" fontId="11" fillId="20" borderId="7" xfId="0" applyFont="1" applyFill="1" applyBorder="1" applyAlignment="1">
      <alignment vertical="center"/>
    </xf>
    <xf numFmtId="0" fontId="11" fillId="20" borderId="8" xfId="0" applyFont="1" applyFill="1" applyBorder="1" applyAlignment="1">
      <alignment horizontal="right" vertical="center"/>
    </xf>
    <xf numFmtId="0" fontId="11" fillId="20" borderId="0" xfId="0" applyFont="1" applyFill="1" applyAlignment="1">
      <alignment vertical="center"/>
    </xf>
    <xf numFmtId="0" fontId="11" fillId="20" borderId="9" xfId="0" applyFont="1" applyFill="1" applyBorder="1" applyAlignment="1">
      <alignment vertical="center"/>
    </xf>
    <xf numFmtId="0" fontId="11" fillId="17" borderId="8" xfId="0" applyFont="1" applyFill="1" applyBorder="1" applyAlignment="1">
      <alignment horizontal="right" vertical="center"/>
    </xf>
    <xf numFmtId="0" fontId="11" fillId="17" borderId="9" xfId="0" applyFont="1" applyFill="1" applyBorder="1" applyAlignment="1">
      <alignment vertical="center"/>
    </xf>
    <xf numFmtId="0" fontId="11" fillId="20" borderId="10" xfId="0" applyFont="1" applyFill="1" applyBorder="1" applyAlignment="1">
      <alignment horizontal="right" vertical="center"/>
    </xf>
    <xf numFmtId="0" fontId="11" fillId="20" borderId="12" xfId="0" applyFont="1" applyFill="1" applyBorder="1" applyAlignment="1">
      <alignment vertical="center"/>
    </xf>
    <xf numFmtId="0" fontId="9" fillId="6" borderId="0" xfId="0" applyFont="1" applyFill="1"/>
    <xf numFmtId="0" fontId="9" fillId="6" borderId="0" xfId="0" applyFont="1" applyFill="1" applyAlignment="1">
      <alignment horizontal="right"/>
    </xf>
    <xf numFmtId="165" fontId="9" fillId="5" borderId="0" xfId="0" applyNumberFormat="1" applyFont="1" applyFill="1" applyAlignment="1">
      <alignment vertical="center"/>
    </xf>
    <xf numFmtId="10" fontId="9" fillId="5" borderId="0" xfId="0" applyNumberFormat="1" applyFont="1" applyFill="1" applyAlignment="1">
      <alignment vertical="center"/>
    </xf>
    <xf numFmtId="0" fontId="10" fillId="16" borderId="0" xfId="0" applyFont="1" applyFill="1" applyAlignment="1">
      <alignment horizontal="left" vertical="center"/>
    </xf>
    <xf numFmtId="0" fontId="9" fillId="6" borderId="0" xfId="0" applyFont="1" applyFill="1" applyAlignment="1">
      <alignment horizontal="left" vertical="center"/>
    </xf>
    <xf numFmtId="0" fontId="9" fillId="5" borderId="0" xfId="0" applyFont="1" applyFill="1" applyAlignment="1">
      <alignment horizontal="left" vertical="center"/>
    </xf>
    <xf numFmtId="0" fontId="9" fillId="5" borderId="0" xfId="0" applyFont="1" applyFill="1" applyAlignment="1">
      <alignment vertical="center"/>
    </xf>
    <xf numFmtId="0" fontId="20" fillId="6" borderId="0" xfId="0" applyFont="1" applyFill="1" applyAlignment="1">
      <alignment vertical="center"/>
    </xf>
    <xf numFmtId="0" fontId="10" fillId="16" borderId="0" xfId="0" applyFont="1" applyFill="1" applyAlignment="1">
      <alignment horizontal="left" vertical="center" wrapText="1"/>
    </xf>
    <xf numFmtId="0" fontId="10" fillId="16" borderId="0" xfId="0" applyFont="1" applyFill="1" applyAlignment="1">
      <alignment horizontal="center" vertical="center" wrapText="1"/>
    </xf>
    <xf numFmtId="165" fontId="9" fillId="5" borderId="0" xfId="0" applyNumberFormat="1" applyFont="1" applyFill="1" applyAlignment="1">
      <alignment wrapText="1"/>
    </xf>
    <xf numFmtId="0" fontId="9" fillId="5" borderId="0" xfId="0" applyFont="1" applyFill="1" applyAlignment="1">
      <alignment wrapText="1"/>
    </xf>
    <xf numFmtId="165" fontId="9" fillId="5" borderId="0" xfId="0" applyNumberFormat="1" applyFont="1" applyFill="1" applyAlignment="1">
      <alignment horizontal="right" vertical="center" wrapText="1"/>
    </xf>
    <xf numFmtId="0" fontId="4" fillId="6" borderId="0" xfId="0" applyFont="1" applyFill="1"/>
    <xf numFmtId="2" fontId="9" fillId="6" borderId="0" xfId="0" applyNumberFormat="1" applyFont="1" applyFill="1"/>
    <xf numFmtId="0" fontId="12" fillId="6" borderId="0" xfId="0" applyFont="1" applyFill="1" applyAlignment="1">
      <alignment vertical="center" wrapText="1"/>
    </xf>
    <xf numFmtId="165" fontId="12" fillId="6" borderId="0" xfId="0" applyNumberFormat="1" applyFont="1" applyFill="1" applyAlignment="1">
      <alignment vertical="center" wrapText="1"/>
    </xf>
    <xf numFmtId="0" fontId="10" fillId="6" borderId="0" xfId="0" applyFont="1" applyFill="1" applyAlignment="1">
      <alignment horizontal="left" vertical="center"/>
    </xf>
    <xf numFmtId="0" fontId="9" fillId="6" borderId="0" xfId="0" applyFont="1" applyFill="1" applyAlignment="1">
      <alignment horizontal="left" wrapText="1"/>
    </xf>
    <xf numFmtId="0" fontId="9" fillId="6" borderId="0" xfId="0" applyFont="1" applyFill="1" applyAlignment="1">
      <alignment wrapText="1"/>
    </xf>
    <xf numFmtId="0" fontId="9" fillId="5" borderId="0" xfId="0" applyFont="1" applyFill="1" applyAlignment="1">
      <alignment horizontal="left" vertical="center" wrapText="1"/>
    </xf>
    <xf numFmtId="0" fontId="9" fillId="5" borderId="0" xfId="0" applyFont="1" applyFill="1" applyAlignment="1">
      <alignment vertical="center" wrapText="1"/>
    </xf>
    <xf numFmtId="164" fontId="9" fillId="5" borderId="0" xfId="0" applyNumberFormat="1" applyFont="1" applyFill="1" applyAlignment="1">
      <alignment vertical="center" wrapText="1"/>
    </xf>
    <xf numFmtId="0" fontId="4" fillId="6" borderId="0" xfId="0" applyFont="1" applyFill="1" applyAlignment="1">
      <alignment vertical="center"/>
    </xf>
    <xf numFmtId="0" fontId="12" fillId="5" borderId="0" xfId="0" applyFont="1" applyFill="1" applyAlignment="1">
      <alignment vertical="center" wrapText="1"/>
    </xf>
    <xf numFmtId="164" fontId="9" fillId="6" borderId="0" xfId="0" applyNumberFormat="1" applyFont="1" applyFill="1" applyAlignment="1">
      <alignment vertical="center" wrapText="1"/>
    </xf>
    <xf numFmtId="0" fontId="9" fillId="17" borderId="0" xfId="0" applyFont="1" applyFill="1"/>
    <xf numFmtId="164" fontId="9" fillId="11" borderId="0" xfId="0" applyNumberFormat="1" applyFont="1" applyFill="1" applyAlignment="1">
      <alignment vertical="center"/>
    </xf>
    <xf numFmtId="164" fontId="9" fillId="15" borderId="0" xfId="0" applyNumberFormat="1" applyFont="1" applyFill="1" applyAlignment="1">
      <alignment vertical="center"/>
    </xf>
    <xf numFmtId="164" fontId="9" fillId="0" borderId="0" xfId="0" applyNumberFormat="1" applyFont="1" applyAlignment="1">
      <alignment vertical="center"/>
    </xf>
    <xf numFmtId="165" fontId="9" fillId="0" borderId="0" xfId="0" applyNumberFormat="1" applyFont="1"/>
    <xf numFmtId="0" fontId="9" fillId="7" borderId="0" xfId="0" applyFont="1" applyFill="1" applyAlignment="1">
      <alignment vertical="center"/>
    </xf>
    <xf numFmtId="0" fontId="9" fillId="7" borderId="0" xfId="0" applyFont="1" applyFill="1" applyAlignment="1">
      <alignment horizontal="right"/>
    </xf>
    <xf numFmtId="0" fontId="9" fillId="11" borderId="0" xfId="0" applyFont="1" applyFill="1" applyAlignment="1">
      <alignment horizontal="right" vertical="center"/>
    </xf>
    <xf numFmtId="164" fontId="9" fillId="11" borderId="0" xfId="0" applyNumberFormat="1" applyFont="1" applyFill="1" applyAlignment="1">
      <alignment horizontal="right"/>
    </xf>
    <xf numFmtId="0" fontId="9" fillId="0" borderId="0" xfId="0" applyFont="1" applyAlignment="1">
      <alignment horizontal="left" vertical="top" wrapText="1"/>
    </xf>
    <xf numFmtId="167" fontId="9" fillId="11" borderId="0" xfId="0" applyNumberFormat="1" applyFont="1" applyFill="1" applyAlignment="1">
      <alignment vertical="center"/>
    </xf>
    <xf numFmtId="167" fontId="9" fillId="11" borderId="0" xfId="0" applyNumberFormat="1" applyFont="1" applyFill="1" applyAlignment="1">
      <alignment horizontal="right" vertical="top" wrapText="1"/>
    </xf>
    <xf numFmtId="167" fontId="9" fillId="11" borderId="0" xfId="0" applyNumberFormat="1" applyFont="1" applyFill="1" applyAlignment="1">
      <alignment horizontal="right" vertical="center"/>
    </xf>
    <xf numFmtId="167" fontId="9" fillId="15" borderId="0" xfId="0" applyNumberFormat="1" applyFont="1" applyFill="1" applyAlignment="1">
      <alignment vertical="center"/>
    </xf>
    <xf numFmtId="0" fontId="9" fillId="15" borderId="0" xfId="0" applyFont="1" applyFill="1" applyAlignment="1">
      <alignment horizontal="right" vertical="center"/>
    </xf>
    <xf numFmtId="167" fontId="9" fillId="11" borderId="3" xfId="0" applyNumberFormat="1" applyFont="1" applyFill="1" applyBorder="1" applyAlignment="1">
      <alignment horizontal="right" vertical="center"/>
    </xf>
    <xf numFmtId="0" fontId="9" fillId="21" borderId="0" xfId="0" applyFont="1" applyFill="1"/>
    <xf numFmtId="167" fontId="9" fillId="21" borderId="0" xfId="0" applyNumberFormat="1" applyFont="1" applyFill="1" applyAlignment="1">
      <alignment vertical="center"/>
    </xf>
    <xf numFmtId="0" fontId="21" fillId="0" borderId="0" xfId="0" applyFont="1"/>
    <xf numFmtId="0" fontId="21" fillId="2" borderId="0" xfId="0" applyFont="1" applyFill="1"/>
    <xf numFmtId="0" fontId="21" fillId="3" borderId="0" xfId="0" applyFont="1" applyFill="1"/>
    <xf numFmtId="0" fontId="21" fillId="4" borderId="0" xfId="0" applyFont="1" applyFill="1"/>
    <xf numFmtId="0" fontId="9" fillId="11" borderId="0" xfId="0" applyFont="1" applyFill="1" applyAlignment="1">
      <alignment horizontal="left" vertical="top" wrapText="1"/>
    </xf>
    <xf numFmtId="167" fontId="9" fillId="15" borderId="0" xfId="0" applyNumberFormat="1" applyFont="1" applyFill="1"/>
    <xf numFmtId="0" fontId="0" fillId="6" borderId="0" xfId="0" applyFill="1"/>
    <xf numFmtId="0" fontId="22" fillId="6" borderId="0" xfId="0" applyFont="1" applyFill="1" applyAlignment="1">
      <alignment horizontal="right" vertical="center"/>
    </xf>
    <xf numFmtId="164" fontId="10" fillId="16" borderId="13" xfId="0" applyNumberFormat="1" applyFont="1" applyFill="1" applyBorder="1" applyAlignment="1">
      <alignment vertical="center"/>
    </xf>
    <xf numFmtId="0" fontId="23" fillId="6" borderId="0" xfId="0" applyFont="1" applyFill="1" applyAlignment="1">
      <alignment horizontal="center" vertical="center"/>
    </xf>
    <xf numFmtId="0" fontId="0" fillId="17" borderId="0" xfId="0" applyFill="1"/>
    <xf numFmtId="0" fontId="0" fillId="9" borderId="1" xfId="0" applyFill="1" applyBorder="1"/>
    <xf numFmtId="14" fontId="9" fillId="17" borderId="0" xfId="0" applyNumberFormat="1" applyFont="1" applyFill="1" applyAlignment="1" applyProtection="1">
      <alignment horizontal="center" vertical="center"/>
      <protection locked="0"/>
    </xf>
    <xf numFmtId="164" fontId="9" fillId="17" borderId="0" xfId="0" applyNumberFormat="1" applyFont="1" applyFill="1" applyAlignment="1" applyProtection="1">
      <alignment vertical="center"/>
      <protection locked="0"/>
    </xf>
    <xf numFmtId="0" fontId="9" fillId="11" borderId="0" xfId="0" applyFont="1" applyFill="1" applyProtection="1">
      <protection locked="0"/>
    </xf>
    <xf numFmtId="0" fontId="11" fillId="17" borderId="0" xfId="0" applyFont="1" applyFill="1" applyAlignment="1">
      <alignment horizontal="left" vertical="center" wrapText="1"/>
    </xf>
    <xf numFmtId="0" fontId="15" fillId="6" borderId="0" xfId="0" applyFont="1" applyFill="1" applyAlignment="1">
      <alignment vertical="center"/>
    </xf>
    <xf numFmtId="14" fontId="27" fillId="17" borderId="0" xfId="0" applyNumberFormat="1" applyFont="1" applyFill="1" applyAlignment="1">
      <alignment horizontal="right" vertical="center"/>
    </xf>
    <xf numFmtId="0" fontId="28" fillId="17" borderId="0" xfId="0" applyFont="1" applyFill="1" applyAlignment="1">
      <alignment vertical="center"/>
    </xf>
    <xf numFmtId="0" fontId="9" fillId="0" borderId="0" xfId="0" applyFont="1" applyAlignment="1">
      <alignment vertical="top"/>
    </xf>
    <xf numFmtId="0" fontId="9" fillId="0" borderId="0" xfId="0" applyFont="1" applyAlignment="1">
      <alignment horizontal="right" vertical="top"/>
    </xf>
    <xf numFmtId="165" fontId="9" fillId="0" borderId="0" xfId="0" applyNumberFormat="1" applyFont="1" applyAlignment="1">
      <alignment vertical="top"/>
    </xf>
    <xf numFmtId="0" fontId="9" fillId="0" borderId="0" xfId="0" quotePrefix="1" applyFont="1"/>
    <xf numFmtId="0" fontId="9" fillId="17" borderId="0" xfId="0" applyFont="1" applyFill="1" applyAlignment="1">
      <alignment vertical="top"/>
    </xf>
    <xf numFmtId="0" fontId="14" fillId="19" borderId="15" xfId="0" applyFont="1" applyFill="1" applyBorder="1" applyAlignment="1">
      <alignment horizontal="left" vertical="center"/>
    </xf>
    <xf numFmtId="0" fontId="14" fillId="18" borderId="14" xfId="0" applyFont="1" applyFill="1" applyBorder="1" applyAlignment="1">
      <alignment vertical="center"/>
    </xf>
    <xf numFmtId="0" fontId="18" fillId="6" borderId="0" xfId="0" applyFont="1" applyFill="1" applyAlignment="1">
      <alignment horizontal="left" vertical="center"/>
    </xf>
    <xf numFmtId="0" fontId="19" fillId="6" borderId="0" xfId="0" applyFont="1" applyFill="1" applyAlignment="1">
      <alignment vertical="center"/>
    </xf>
    <xf numFmtId="0" fontId="11" fillId="20" borderId="11" xfId="0" applyFont="1" applyFill="1" applyBorder="1" applyAlignment="1">
      <alignment vertical="center"/>
    </xf>
    <xf numFmtId="165" fontId="29" fillId="17" borderId="0" xfId="0" applyNumberFormat="1" applyFont="1" applyFill="1" applyAlignment="1">
      <alignment horizontal="left" vertical="center" wrapText="1"/>
    </xf>
    <xf numFmtId="0" fontId="0" fillId="13" borderId="0" xfId="0" applyFill="1" applyAlignment="1">
      <alignment vertical="center"/>
    </xf>
    <xf numFmtId="0" fontId="0" fillId="0" borderId="0" xfId="0" applyAlignment="1">
      <alignment vertical="center"/>
    </xf>
    <xf numFmtId="0" fontId="4" fillId="13" borderId="0" xfId="0" applyFont="1" applyFill="1" applyAlignment="1">
      <alignment vertical="center"/>
    </xf>
    <xf numFmtId="165" fontId="0" fillId="0" borderId="0" xfId="0" applyNumberFormat="1"/>
    <xf numFmtId="168" fontId="9" fillId="5" borderId="0" xfId="0" applyNumberFormat="1" applyFont="1" applyFill="1" applyAlignment="1">
      <alignment horizontal="right" vertical="center" wrapText="1"/>
    </xf>
    <xf numFmtId="0" fontId="0" fillId="15" borderId="0" xfId="0" applyFill="1"/>
    <xf numFmtId="0" fontId="0" fillId="15" borderId="0" xfId="0" quotePrefix="1" applyFill="1"/>
    <xf numFmtId="0" fontId="0" fillId="22" borderId="0" xfId="0" applyFill="1"/>
    <xf numFmtId="0" fontId="0" fillId="23" borderId="0" xfId="0" applyFill="1"/>
    <xf numFmtId="0" fontId="0" fillId="24" borderId="1" xfId="0" applyFill="1" applyBorder="1" applyAlignment="1">
      <alignment wrapText="1"/>
    </xf>
    <xf numFmtId="0" fontId="0" fillId="25" borderId="1" xfId="0" applyFill="1" applyBorder="1" applyAlignment="1">
      <alignment wrapText="1"/>
    </xf>
    <xf numFmtId="0" fontId="0" fillId="15" borderId="0" xfId="0" applyFill="1" applyAlignment="1">
      <alignment horizontal="right"/>
    </xf>
    <xf numFmtId="165" fontId="6" fillId="22" borderId="1" xfId="0" applyNumberFormat="1" applyFont="1" applyFill="1" applyBorder="1" applyAlignment="1">
      <alignment vertical="center" wrapText="1"/>
    </xf>
    <xf numFmtId="168" fontId="0" fillId="22" borderId="1" xfId="0" applyNumberFormat="1" applyFill="1" applyBorder="1" applyAlignment="1">
      <alignment wrapText="1"/>
    </xf>
    <xf numFmtId="0" fontId="0" fillId="22" borderId="1" xfId="0" applyFill="1" applyBorder="1" applyAlignment="1">
      <alignment wrapText="1"/>
    </xf>
    <xf numFmtId="165" fontId="0" fillId="22" borderId="1" xfId="0" applyNumberFormat="1" applyFill="1" applyBorder="1" applyAlignment="1">
      <alignment wrapText="1"/>
    </xf>
    <xf numFmtId="17" fontId="0" fillId="22" borderId="0" xfId="0" applyNumberFormat="1" applyFill="1"/>
    <xf numFmtId="0" fontId="0" fillId="15" borderId="0" xfId="0" quotePrefix="1" applyFill="1" applyAlignment="1">
      <alignment wrapText="1"/>
    </xf>
    <xf numFmtId="0" fontId="0" fillId="22" borderId="0" xfId="0" applyFill="1" applyAlignment="1">
      <alignment horizontal="left"/>
    </xf>
    <xf numFmtId="165" fontId="6" fillId="17" borderId="1" xfId="0" applyNumberFormat="1" applyFont="1" applyFill="1" applyBorder="1" applyAlignment="1">
      <alignment vertical="center" wrapText="1"/>
    </xf>
    <xf numFmtId="0" fontId="0" fillId="15" borderId="0" xfId="0" applyFill="1" applyAlignment="1">
      <alignment vertical="center"/>
    </xf>
    <xf numFmtId="168" fontId="0" fillId="0" borderId="1" xfId="0" applyNumberFormat="1" applyBorder="1" applyAlignment="1">
      <alignment wrapText="1"/>
    </xf>
    <xf numFmtId="15" fontId="7" fillId="17" borderId="1" xfId="0" quotePrefix="1" applyNumberFormat="1" applyFont="1" applyFill="1" applyBorder="1"/>
    <xf numFmtId="0" fontId="11" fillId="20" borderId="0" xfId="0" applyFont="1" applyFill="1" applyAlignment="1">
      <alignment horizontal="right" vertical="center" wrapText="1"/>
    </xf>
    <xf numFmtId="17" fontId="0" fillId="22" borderId="0" xfId="0" quotePrefix="1" applyNumberFormat="1" applyFill="1" applyAlignment="1">
      <alignment horizontal="right"/>
    </xf>
    <xf numFmtId="0" fontId="25" fillId="16" borderId="0" xfId="293" applyFont="1" applyFill="1" applyAlignment="1">
      <alignment horizontal="left" vertical="center" wrapText="1"/>
    </xf>
    <xf numFmtId="0" fontId="1" fillId="16" borderId="0" xfId="293" applyFill="1" applyAlignment="1">
      <alignment horizontal="left" vertical="center" wrapText="1"/>
    </xf>
    <xf numFmtId="0" fontId="9" fillId="6" borderId="0" xfId="0" applyFont="1" applyFill="1" applyAlignment="1">
      <alignment horizontal="center" vertical="center"/>
    </xf>
    <xf numFmtId="0" fontId="10" fillId="16" borderId="0" xfId="0" applyFont="1" applyFill="1" applyAlignment="1">
      <alignment horizontal="left" vertical="center" wrapText="1"/>
    </xf>
    <xf numFmtId="0" fontId="24" fillId="16" borderId="0" xfId="0" applyFont="1" applyFill="1" applyAlignment="1">
      <alignment horizontal="left" vertical="center" wrapText="1"/>
    </xf>
    <xf numFmtId="0" fontId="9" fillId="11" borderId="0" xfId="0" applyFont="1" applyFill="1" applyAlignment="1">
      <alignment horizontal="left" vertical="top" wrapText="1"/>
    </xf>
    <xf numFmtId="0" fontId="11" fillId="20" borderId="0" xfId="0" applyFont="1" applyFill="1" applyAlignment="1">
      <alignment horizontal="left" vertical="center" wrapText="1"/>
    </xf>
    <xf numFmtId="0" fontId="9" fillId="0" borderId="0" xfId="0" applyFont="1" applyAlignment="1">
      <alignment horizontal="left" vertical="top" wrapText="1"/>
    </xf>
    <xf numFmtId="0" fontId="11" fillId="20" borderId="0" xfId="0" applyFont="1" applyFill="1" applyAlignment="1">
      <alignment horizontal="left" vertical="top" wrapText="1"/>
    </xf>
    <xf numFmtId="0" fontId="11" fillId="17" borderId="0" xfId="0" applyFont="1" applyFill="1" applyAlignment="1">
      <alignment horizontal="left" vertical="center" wrapText="1"/>
    </xf>
    <xf numFmtId="0" fontId="9" fillId="15" borderId="0" xfId="0" applyFont="1" applyFill="1" applyAlignment="1">
      <alignment horizontal="left" vertical="top" wrapText="1"/>
    </xf>
    <xf numFmtId="0" fontId="9" fillId="11" borderId="0" xfId="0" applyFont="1" applyFill="1" applyAlignment="1">
      <alignment horizontal="left" vertical="top"/>
    </xf>
    <xf numFmtId="0" fontId="11" fillId="20" borderId="11" xfId="0" applyFont="1" applyFill="1" applyBorder="1" applyAlignment="1">
      <alignment horizontal="left" vertical="center" wrapText="1"/>
    </xf>
    <xf numFmtId="0" fontId="11" fillId="17" borderId="0" xfId="0" applyFont="1" applyFill="1" applyAlignment="1">
      <alignment horizontal="right" vertical="center" wrapText="1"/>
    </xf>
    <xf numFmtId="0" fontId="9" fillId="5" borderId="0" xfId="0" applyFont="1" applyFill="1" applyAlignment="1">
      <alignment horizontal="center" vertical="center"/>
    </xf>
    <xf numFmtId="0" fontId="11" fillId="20" borderId="6" xfId="0" applyFont="1" applyFill="1" applyBorder="1" applyAlignment="1">
      <alignment horizontal="left" vertical="center" wrapText="1"/>
    </xf>
  </cellXfs>
  <cellStyles count="3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cellStyle name="Normal" xfId="0" builtinId="0"/>
  </cellStyles>
  <dxfs count="0"/>
  <tableStyles count="0" defaultTableStyle="TableStyleMedium9" defaultPivotStyle="PivotStyleMedium4"/>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85" dropStyle="combo" dx="16" fmlaLink="E102" fmlaRange="lists!$C$5:$C$7" sel="2" val="0"/>
</file>

<file path=xl/ctrlProps/ctrlProp2.xml><?xml version="1.0" encoding="utf-8"?>
<formControlPr xmlns="http://schemas.microsoft.com/office/spreadsheetml/2009/9/main" objectType="Drop" dropLines="85" dropStyle="combo" dx="16" fmlaLink="E103" fmlaRange="lists!$C$9:$C$10" sel="1"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mplyretirement.com.au"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simplyretirement.com.au/australian-age-pension-calculator#b1" TargetMode="External"/><Relationship Id="rId13" Type="http://schemas.openxmlformats.org/officeDocument/2006/relationships/hyperlink" Target="https://simplyretirement.com.au/australian-age-pension-calculator#c1" TargetMode="External"/><Relationship Id="rId3" Type="http://schemas.openxmlformats.org/officeDocument/2006/relationships/hyperlink" Target="https://simplyretirement.com.au/australian-age-pension-calculator" TargetMode="External"/><Relationship Id="rId7" Type="http://schemas.openxmlformats.org/officeDocument/2006/relationships/hyperlink" Target="https://simplyretirement.com.au/australian-age-pension-calculator#a4" TargetMode="External"/><Relationship Id="rId12" Type="http://schemas.openxmlformats.org/officeDocument/2006/relationships/hyperlink" Target="https://simplyretirement.com.au/australian-age-pension-calculator#b5" TargetMode="External"/><Relationship Id="rId17" Type="http://schemas.openxmlformats.org/officeDocument/2006/relationships/hyperlink" Target="https://simplyretirement.com.au/australian-age-pension-calculator#c4" TargetMode="External"/><Relationship Id="rId2" Type="http://schemas.openxmlformats.org/officeDocument/2006/relationships/image" Target="../media/image1.png"/><Relationship Id="rId16" Type="http://schemas.openxmlformats.org/officeDocument/2006/relationships/hyperlink" Target="https://simplyretirement.com.au/australian-age-pension-calculator#c3" TargetMode="External"/><Relationship Id="rId1" Type="http://schemas.openxmlformats.org/officeDocument/2006/relationships/hyperlink" Target="http://simplyretirement.com.au" TargetMode="External"/><Relationship Id="rId6" Type="http://schemas.openxmlformats.org/officeDocument/2006/relationships/hyperlink" Target="https://simplyretirement.com.au/australian-age-pension-calculator#a3" TargetMode="External"/><Relationship Id="rId11" Type="http://schemas.openxmlformats.org/officeDocument/2006/relationships/hyperlink" Target="https://simplyretirement.com.au/australian-age-pension-calculator#b4" TargetMode="External"/><Relationship Id="rId5" Type="http://schemas.openxmlformats.org/officeDocument/2006/relationships/hyperlink" Target="https://simplyretirement.com.au/australian-age-pension-calculator#a2" TargetMode="External"/><Relationship Id="rId15" Type="http://schemas.openxmlformats.org/officeDocument/2006/relationships/hyperlink" Target="https://simplyretirement.com.au/australian-age-pension-calculator#c2" TargetMode="External"/><Relationship Id="rId10" Type="http://schemas.openxmlformats.org/officeDocument/2006/relationships/hyperlink" Target="https://simplyretirement.com.au/australian-age-pension-calculator#b3" TargetMode="External"/><Relationship Id="rId4" Type="http://schemas.openxmlformats.org/officeDocument/2006/relationships/hyperlink" Target="https://simplyretirement.com.au/australian-age-pension-calculator#a1" TargetMode="External"/><Relationship Id="rId9" Type="http://schemas.openxmlformats.org/officeDocument/2006/relationships/hyperlink" Target="https://simplyretirement.com.au/australian-age-pension-calculator#b2" TargetMode="External"/><Relationship Id="rId14" Type="http://schemas.openxmlformats.org/officeDocument/2006/relationships/hyperlink" Target="https://simplyretirement.com.au/australian-age-pension-calculator#b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1</xdr:row>
      <xdr:rowOff>0</xdr:rowOff>
    </xdr:from>
    <xdr:to>
      <xdr:col>2</xdr:col>
      <xdr:colOff>3175000</xdr:colOff>
      <xdr:row>5</xdr:row>
      <xdr:rowOff>194086</xdr:rowOff>
    </xdr:to>
    <xdr:pic>
      <xdr:nvPicPr>
        <xdr:cNvPr id="6" name="Picture 5">
          <a:hlinkClick xmlns:r="http://schemas.openxmlformats.org/officeDocument/2006/relationships" r:id="rId1" tooltip="Go to simplyretirement.com.au"/>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77800" y="190500"/>
          <a:ext cx="5257800" cy="12989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xdr:colOff>
          <xdr:row>8</xdr:row>
          <xdr:rowOff>60960</xdr:rowOff>
        </xdr:from>
        <xdr:to>
          <xdr:col>6</xdr:col>
          <xdr:colOff>1127760</xdr:colOff>
          <xdr:row>8</xdr:row>
          <xdr:rowOff>304800</xdr:rowOff>
        </xdr:to>
        <xdr:sp macro="" textlink="">
          <xdr:nvSpPr>
            <xdr:cNvPr id="2060" name="Drop Down 16"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xdr:row>
          <xdr:rowOff>22860</xdr:rowOff>
        </xdr:from>
        <xdr:to>
          <xdr:col>6</xdr:col>
          <xdr:colOff>1127760</xdr:colOff>
          <xdr:row>9</xdr:row>
          <xdr:rowOff>266700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177800</xdr:colOff>
      <xdr:row>0</xdr:row>
      <xdr:rowOff>177800</xdr:rowOff>
    </xdr:from>
    <xdr:to>
      <xdr:col>2</xdr:col>
      <xdr:colOff>3009900</xdr:colOff>
      <xdr:row>5</xdr:row>
      <xdr:rowOff>181386</xdr:rowOff>
    </xdr:to>
    <xdr:pic>
      <xdr:nvPicPr>
        <xdr:cNvPr id="2" name="Picture 1">
          <a:hlinkClick xmlns:r="http://schemas.openxmlformats.org/officeDocument/2006/relationships" r:id="rId1" tooltip="Go to simplyretirement.com.au"/>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77800" y="177800"/>
          <a:ext cx="5257800" cy="1298986"/>
        </a:xfrm>
        <a:prstGeom prst="rect">
          <a:avLst/>
        </a:prstGeom>
      </xdr:spPr>
    </xdr:pic>
    <xdr:clientData/>
  </xdr:twoCellAnchor>
  <xdr:twoCellAnchor>
    <xdr:from>
      <xdr:col>5</xdr:col>
      <xdr:colOff>25400</xdr:colOff>
      <xdr:row>15</xdr:row>
      <xdr:rowOff>25400</xdr:rowOff>
    </xdr:from>
    <xdr:to>
      <xdr:col>9</xdr:col>
      <xdr:colOff>139700</xdr:colOff>
      <xdr:row>15</xdr:row>
      <xdr:rowOff>342900</xdr:rowOff>
    </xdr:to>
    <xdr:sp macro="" textlink="">
      <xdr:nvSpPr>
        <xdr:cNvPr id="35" name="Pentagon 34">
          <a:extLst>
            <a:ext uri="{FF2B5EF4-FFF2-40B4-BE49-F238E27FC236}">
              <a16:creationId xmlns:a16="http://schemas.microsoft.com/office/drawing/2014/main" id="{00000000-0008-0000-0100-000023000000}"/>
            </a:ext>
          </a:extLst>
        </xdr:cNvPr>
        <xdr:cNvSpPr/>
      </xdr:nvSpPr>
      <xdr:spPr>
        <a:xfrm rot="10800000" flipV="1">
          <a:off x="8267700" y="44958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"almost fire sale" value eg. $10,000</a:t>
          </a:r>
          <a:endParaRPr lang="en-US" sz="1200">
            <a:solidFill>
              <a:schemeClr val="tx1"/>
            </a:solidFill>
          </a:endParaRPr>
        </a:p>
      </xdr:txBody>
    </xdr:sp>
    <xdr:clientData/>
  </xdr:twoCellAnchor>
  <xdr:twoCellAnchor>
    <xdr:from>
      <xdr:col>6</xdr:col>
      <xdr:colOff>292100</xdr:colOff>
      <xdr:row>10</xdr:row>
      <xdr:rowOff>228600</xdr:rowOff>
    </xdr:from>
    <xdr:to>
      <xdr:col>8</xdr:col>
      <xdr:colOff>596900</xdr:colOff>
      <xdr:row>14</xdr:row>
      <xdr:rowOff>101600</xdr:rowOff>
    </xdr:to>
    <xdr:sp macro="" textlink="">
      <xdr:nvSpPr>
        <xdr:cNvPr id="6" name="Process 5">
          <a:extLst>
            <a:ext uri="{FF2B5EF4-FFF2-40B4-BE49-F238E27FC236}">
              <a16:creationId xmlns:a16="http://schemas.microsoft.com/office/drawing/2014/main" id="{00000000-0008-0000-0100-000006000000}"/>
            </a:ext>
          </a:extLst>
        </xdr:cNvPr>
        <xdr:cNvSpPr/>
      </xdr:nvSpPr>
      <xdr:spPr>
        <a:xfrm>
          <a:off x="8674100" y="3187700"/>
          <a:ext cx="2006600" cy="977900"/>
        </a:xfrm>
        <a:prstGeom prst="flowChartProcess">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For couples, enter all </a:t>
          </a:r>
        </a:p>
        <a:p>
          <a:pPr marL="0" indent="0" algn="l"/>
          <a:r>
            <a:rPr lang="en-US" sz="1200" baseline="0">
              <a:solidFill>
                <a:schemeClr val="tx1"/>
              </a:solidFill>
              <a:latin typeface="+mn-lt"/>
              <a:ea typeface="+mn-ea"/>
              <a:cs typeface="+mn-cs"/>
            </a:rPr>
            <a:t>income and assets as combined total  amounts (unless otherwise indicated)</a:t>
          </a:r>
        </a:p>
      </xdr:txBody>
    </xdr:sp>
    <xdr:clientData/>
  </xdr:twoCellAnchor>
  <xdr:twoCellAnchor>
    <xdr:from>
      <xdr:col>8</xdr:col>
      <xdr:colOff>692150</xdr:colOff>
      <xdr:row>10</xdr:row>
      <xdr:rowOff>292100</xdr:rowOff>
    </xdr:from>
    <xdr:to>
      <xdr:col>8</xdr:col>
      <xdr:colOff>947750</xdr:colOff>
      <xdr:row>12</xdr:row>
      <xdr:rowOff>77800</xdr:rowOff>
    </xdr:to>
    <xdr:sp macro="" textlink="">
      <xdr:nvSpPr>
        <xdr:cNvPr id="5" name="Oval 4">
          <a:hlinkClick xmlns:r="http://schemas.openxmlformats.org/officeDocument/2006/relationships" r:id="rId3" tooltip="Need help?"/>
          <a:extLst>
            <a:ext uri="{FF2B5EF4-FFF2-40B4-BE49-F238E27FC236}">
              <a16:creationId xmlns:a16="http://schemas.microsoft.com/office/drawing/2014/main" id="{00000000-0008-0000-0100-000005000000}"/>
            </a:ext>
          </a:extLst>
        </xdr:cNvPr>
        <xdr:cNvSpPr/>
      </xdr:nvSpPr>
      <xdr:spPr>
        <a:xfrm>
          <a:off x="10941050" y="3197225"/>
          <a:ext cx="255600" cy="252425"/>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234950</xdr:colOff>
      <xdr:row>15</xdr:row>
      <xdr:rowOff>50800</xdr:rowOff>
    </xdr:from>
    <xdr:to>
      <xdr:col>11</xdr:col>
      <xdr:colOff>17475</xdr:colOff>
      <xdr:row>15</xdr:row>
      <xdr:rowOff>306400</xdr:rowOff>
    </xdr:to>
    <xdr:sp macro="" textlink="">
      <xdr:nvSpPr>
        <xdr:cNvPr id="39" name="Oval 38">
          <a:hlinkClick xmlns:r="http://schemas.openxmlformats.org/officeDocument/2006/relationships" r:id="rId4" tooltip="Need help?"/>
          <a:extLst>
            <a:ext uri="{FF2B5EF4-FFF2-40B4-BE49-F238E27FC236}">
              <a16:creationId xmlns:a16="http://schemas.microsoft.com/office/drawing/2014/main" id="{00000000-0008-0000-0100-000027000000}"/>
            </a:ext>
          </a:extLst>
        </xdr:cNvPr>
        <xdr:cNvSpPr/>
      </xdr:nvSpPr>
      <xdr:spPr>
        <a:xfrm>
          <a:off x="11960225" y="44513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16</xdr:row>
      <xdr:rowOff>38100</xdr:rowOff>
    </xdr:from>
    <xdr:to>
      <xdr:col>9</xdr:col>
      <xdr:colOff>139700</xdr:colOff>
      <xdr:row>17</xdr:row>
      <xdr:rowOff>0</xdr:rowOff>
    </xdr:to>
    <xdr:sp macro="" textlink="">
      <xdr:nvSpPr>
        <xdr:cNvPr id="40" name="Pentagon 39">
          <a:extLst>
            <a:ext uri="{FF2B5EF4-FFF2-40B4-BE49-F238E27FC236}">
              <a16:creationId xmlns:a16="http://schemas.microsoft.com/office/drawing/2014/main" id="{00000000-0008-0000-0100-000028000000}"/>
            </a:ext>
          </a:extLst>
        </xdr:cNvPr>
        <xdr:cNvSpPr/>
      </xdr:nvSpPr>
      <xdr:spPr>
        <a:xfrm rot="10800000" flipV="1">
          <a:off x="8267700" y="48641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"Red Book" value, or market value</a:t>
          </a:r>
        </a:p>
      </xdr:txBody>
    </xdr:sp>
    <xdr:clientData/>
  </xdr:twoCellAnchor>
  <xdr:twoCellAnchor>
    <xdr:from>
      <xdr:col>9</xdr:col>
      <xdr:colOff>234950</xdr:colOff>
      <xdr:row>16</xdr:row>
      <xdr:rowOff>63500</xdr:rowOff>
    </xdr:from>
    <xdr:to>
      <xdr:col>11</xdr:col>
      <xdr:colOff>17475</xdr:colOff>
      <xdr:row>16</xdr:row>
      <xdr:rowOff>319100</xdr:rowOff>
    </xdr:to>
    <xdr:sp macro="" textlink="">
      <xdr:nvSpPr>
        <xdr:cNvPr id="41" name="Oval 40">
          <a:hlinkClick xmlns:r="http://schemas.openxmlformats.org/officeDocument/2006/relationships" r:id="rId5" tooltip="Need help?"/>
          <a:extLst>
            <a:ext uri="{FF2B5EF4-FFF2-40B4-BE49-F238E27FC236}">
              <a16:creationId xmlns:a16="http://schemas.microsoft.com/office/drawing/2014/main" id="{00000000-0008-0000-0100-000029000000}"/>
            </a:ext>
          </a:extLst>
        </xdr:cNvPr>
        <xdr:cNvSpPr/>
      </xdr:nvSpPr>
      <xdr:spPr>
        <a:xfrm>
          <a:off x="11960225" y="48164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17</xdr:row>
      <xdr:rowOff>50800</xdr:rowOff>
    </xdr:from>
    <xdr:to>
      <xdr:col>9</xdr:col>
      <xdr:colOff>139700</xdr:colOff>
      <xdr:row>18</xdr:row>
      <xdr:rowOff>12700</xdr:rowOff>
    </xdr:to>
    <xdr:sp macro="" textlink="">
      <xdr:nvSpPr>
        <xdr:cNvPr id="42" name="Pentagon 41">
          <a:extLst>
            <a:ext uri="{FF2B5EF4-FFF2-40B4-BE49-F238E27FC236}">
              <a16:creationId xmlns:a16="http://schemas.microsoft.com/office/drawing/2014/main" id="{00000000-0008-0000-0100-00002A000000}"/>
            </a:ext>
          </a:extLst>
        </xdr:cNvPr>
        <xdr:cNvSpPr/>
      </xdr:nvSpPr>
      <xdr:spPr>
        <a:xfrm rot="10800000" flipV="1">
          <a:off x="8267700" y="52324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"Red Book" value, or market value</a:t>
          </a:r>
        </a:p>
      </xdr:txBody>
    </xdr:sp>
    <xdr:clientData/>
  </xdr:twoCellAnchor>
  <xdr:twoCellAnchor>
    <xdr:from>
      <xdr:col>9</xdr:col>
      <xdr:colOff>234950</xdr:colOff>
      <xdr:row>17</xdr:row>
      <xdr:rowOff>76200</xdr:rowOff>
    </xdr:from>
    <xdr:to>
      <xdr:col>11</xdr:col>
      <xdr:colOff>17475</xdr:colOff>
      <xdr:row>17</xdr:row>
      <xdr:rowOff>331800</xdr:rowOff>
    </xdr:to>
    <xdr:sp macro="" textlink="">
      <xdr:nvSpPr>
        <xdr:cNvPr id="43" name="Oval 42">
          <a:hlinkClick xmlns:r="http://schemas.openxmlformats.org/officeDocument/2006/relationships" r:id="rId5" tooltip="Need help?"/>
          <a:extLst>
            <a:ext uri="{FF2B5EF4-FFF2-40B4-BE49-F238E27FC236}">
              <a16:creationId xmlns:a16="http://schemas.microsoft.com/office/drawing/2014/main" id="{00000000-0008-0000-0100-00002B000000}"/>
            </a:ext>
          </a:extLst>
        </xdr:cNvPr>
        <xdr:cNvSpPr/>
      </xdr:nvSpPr>
      <xdr:spPr>
        <a:xfrm>
          <a:off x="11960225" y="51816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18</xdr:row>
      <xdr:rowOff>50800</xdr:rowOff>
    </xdr:from>
    <xdr:to>
      <xdr:col>9</xdr:col>
      <xdr:colOff>127000</xdr:colOff>
      <xdr:row>19</xdr:row>
      <xdr:rowOff>12700</xdr:rowOff>
    </xdr:to>
    <xdr:sp macro="" textlink="">
      <xdr:nvSpPr>
        <xdr:cNvPr id="44" name="Pentagon 43">
          <a:extLst>
            <a:ext uri="{FF2B5EF4-FFF2-40B4-BE49-F238E27FC236}">
              <a16:creationId xmlns:a16="http://schemas.microsoft.com/office/drawing/2014/main" id="{00000000-0008-0000-0100-00002C000000}"/>
            </a:ext>
          </a:extLst>
        </xdr:cNvPr>
        <xdr:cNvSpPr/>
      </xdr:nvSpPr>
      <xdr:spPr>
        <a:xfrm rot="10800000" flipV="1">
          <a:off x="8255000" y="5588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current market value (less any debt)</a:t>
          </a:r>
        </a:p>
      </xdr:txBody>
    </xdr:sp>
    <xdr:clientData/>
  </xdr:twoCellAnchor>
  <xdr:twoCellAnchor>
    <xdr:from>
      <xdr:col>9</xdr:col>
      <xdr:colOff>222250</xdr:colOff>
      <xdr:row>18</xdr:row>
      <xdr:rowOff>76200</xdr:rowOff>
    </xdr:from>
    <xdr:to>
      <xdr:col>11</xdr:col>
      <xdr:colOff>4775</xdr:colOff>
      <xdr:row>18</xdr:row>
      <xdr:rowOff>331800</xdr:rowOff>
    </xdr:to>
    <xdr:sp macro="" textlink="">
      <xdr:nvSpPr>
        <xdr:cNvPr id="45" name="Oval 44">
          <a:hlinkClick xmlns:r="http://schemas.openxmlformats.org/officeDocument/2006/relationships" r:id="rId6" tooltip="Need help?"/>
          <a:extLst>
            <a:ext uri="{FF2B5EF4-FFF2-40B4-BE49-F238E27FC236}">
              <a16:creationId xmlns:a16="http://schemas.microsoft.com/office/drawing/2014/main" id="{00000000-0008-0000-0100-00002D000000}"/>
            </a:ext>
          </a:extLst>
        </xdr:cNvPr>
        <xdr:cNvSpPr/>
      </xdr:nvSpPr>
      <xdr:spPr>
        <a:xfrm>
          <a:off x="11947525" y="553402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19</xdr:row>
      <xdr:rowOff>50800</xdr:rowOff>
    </xdr:from>
    <xdr:to>
      <xdr:col>9</xdr:col>
      <xdr:colOff>127000</xdr:colOff>
      <xdr:row>20</xdr:row>
      <xdr:rowOff>12700</xdr:rowOff>
    </xdr:to>
    <xdr:sp macro="" textlink="">
      <xdr:nvSpPr>
        <xdr:cNvPr id="46" name="Pentagon 45">
          <a:extLst>
            <a:ext uri="{FF2B5EF4-FFF2-40B4-BE49-F238E27FC236}">
              <a16:creationId xmlns:a16="http://schemas.microsoft.com/office/drawing/2014/main" id="{00000000-0008-0000-0100-00002E000000}"/>
            </a:ext>
          </a:extLst>
        </xdr:cNvPr>
        <xdr:cNvSpPr/>
      </xdr:nvSpPr>
      <xdr:spPr>
        <a:xfrm rot="10800000" flipV="1">
          <a:off x="8255000" y="59436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account balance (pre-2015 pensions only)</a:t>
          </a:r>
        </a:p>
      </xdr:txBody>
    </xdr:sp>
    <xdr:clientData/>
  </xdr:twoCellAnchor>
  <xdr:twoCellAnchor>
    <xdr:from>
      <xdr:col>9</xdr:col>
      <xdr:colOff>222250</xdr:colOff>
      <xdr:row>19</xdr:row>
      <xdr:rowOff>76200</xdr:rowOff>
    </xdr:from>
    <xdr:to>
      <xdr:col>11</xdr:col>
      <xdr:colOff>4775</xdr:colOff>
      <xdr:row>19</xdr:row>
      <xdr:rowOff>331800</xdr:rowOff>
    </xdr:to>
    <xdr:sp macro="" textlink="">
      <xdr:nvSpPr>
        <xdr:cNvPr id="47" name="Oval 46">
          <a:hlinkClick xmlns:r="http://schemas.openxmlformats.org/officeDocument/2006/relationships" r:id="rId7" tooltip="Need help?"/>
          <a:extLst>
            <a:ext uri="{FF2B5EF4-FFF2-40B4-BE49-F238E27FC236}">
              <a16:creationId xmlns:a16="http://schemas.microsoft.com/office/drawing/2014/main" id="{00000000-0008-0000-0100-00002F000000}"/>
            </a:ext>
          </a:extLst>
        </xdr:cNvPr>
        <xdr:cNvSpPr/>
      </xdr:nvSpPr>
      <xdr:spPr>
        <a:xfrm>
          <a:off x="11947525" y="58864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22</xdr:row>
      <xdr:rowOff>0</xdr:rowOff>
    </xdr:from>
    <xdr:to>
      <xdr:col>9</xdr:col>
      <xdr:colOff>127000</xdr:colOff>
      <xdr:row>22</xdr:row>
      <xdr:rowOff>317500</xdr:rowOff>
    </xdr:to>
    <xdr:sp macro="" textlink="">
      <xdr:nvSpPr>
        <xdr:cNvPr id="48" name="Pentagon 47">
          <a:extLst>
            <a:ext uri="{FF2B5EF4-FFF2-40B4-BE49-F238E27FC236}">
              <a16:creationId xmlns:a16="http://schemas.microsoft.com/office/drawing/2014/main" id="{00000000-0008-0000-0100-000030000000}"/>
            </a:ext>
          </a:extLst>
        </xdr:cNvPr>
        <xdr:cNvSpPr/>
      </xdr:nvSpPr>
      <xdr:spPr>
        <a:xfrm rot="10800000" flipV="1">
          <a:off x="8255000" y="66167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Use total balance of all bank accounts etc</a:t>
          </a:r>
        </a:p>
      </xdr:txBody>
    </xdr:sp>
    <xdr:clientData/>
  </xdr:twoCellAnchor>
  <xdr:twoCellAnchor>
    <xdr:from>
      <xdr:col>9</xdr:col>
      <xdr:colOff>222250</xdr:colOff>
      <xdr:row>22</xdr:row>
      <xdr:rowOff>25400</xdr:rowOff>
    </xdr:from>
    <xdr:to>
      <xdr:col>11</xdr:col>
      <xdr:colOff>4775</xdr:colOff>
      <xdr:row>22</xdr:row>
      <xdr:rowOff>281000</xdr:rowOff>
    </xdr:to>
    <xdr:sp macro="" textlink="">
      <xdr:nvSpPr>
        <xdr:cNvPr id="49" name="Oval 48">
          <a:hlinkClick xmlns:r="http://schemas.openxmlformats.org/officeDocument/2006/relationships" r:id="rId8" tooltip="Need help?"/>
          <a:extLst>
            <a:ext uri="{FF2B5EF4-FFF2-40B4-BE49-F238E27FC236}">
              <a16:creationId xmlns:a16="http://schemas.microsoft.com/office/drawing/2014/main" id="{00000000-0008-0000-0100-000031000000}"/>
            </a:ext>
          </a:extLst>
        </xdr:cNvPr>
        <xdr:cNvSpPr/>
      </xdr:nvSpPr>
      <xdr:spPr>
        <a:xfrm>
          <a:off x="11947525" y="66929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23</xdr:row>
      <xdr:rowOff>12700</xdr:rowOff>
    </xdr:from>
    <xdr:to>
      <xdr:col>9</xdr:col>
      <xdr:colOff>127000</xdr:colOff>
      <xdr:row>23</xdr:row>
      <xdr:rowOff>330200</xdr:rowOff>
    </xdr:to>
    <xdr:sp macro="" textlink="">
      <xdr:nvSpPr>
        <xdr:cNvPr id="50" name="Pentagon 49">
          <a:extLst>
            <a:ext uri="{FF2B5EF4-FFF2-40B4-BE49-F238E27FC236}">
              <a16:creationId xmlns:a16="http://schemas.microsoft.com/office/drawing/2014/main" id="{00000000-0008-0000-0100-000032000000}"/>
            </a:ext>
          </a:extLst>
        </xdr:cNvPr>
        <xdr:cNvSpPr/>
      </xdr:nvSpPr>
      <xdr:spPr>
        <a:xfrm rot="10800000" flipV="1">
          <a:off x="8255000" y="6985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Use current market value</a:t>
          </a:r>
        </a:p>
      </xdr:txBody>
    </xdr:sp>
    <xdr:clientData/>
  </xdr:twoCellAnchor>
  <xdr:twoCellAnchor>
    <xdr:from>
      <xdr:col>9</xdr:col>
      <xdr:colOff>222250</xdr:colOff>
      <xdr:row>23</xdr:row>
      <xdr:rowOff>38100</xdr:rowOff>
    </xdr:from>
    <xdr:to>
      <xdr:col>11</xdr:col>
      <xdr:colOff>4775</xdr:colOff>
      <xdr:row>23</xdr:row>
      <xdr:rowOff>293700</xdr:rowOff>
    </xdr:to>
    <xdr:sp macro="" textlink="">
      <xdr:nvSpPr>
        <xdr:cNvPr id="51" name="Oval 50">
          <a:hlinkClick xmlns:r="http://schemas.openxmlformats.org/officeDocument/2006/relationships" r:id="rId9" tooltip="Need help?"/>
          <a:extLst>
            <a:ext uri="{FF2B5EF4-FFF2-40B4-BE49-F238E27FC236}">
              <a16:creationId xmlns:a16="http://schemas.microsoft.com/office/drawing/2014/main" id="{00000000-0008-0000-0100-000033000000}"/>
            </a:ext>
          </a:extLst>
        </xdr:cNvPr>
        <xdr:cNvSpPr/>
      </xdr:nvSpPr>
      <xdr:spPr>
        <a:xfrm>
          <a:off x="11947525" y="705802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24</xdr:row>
      <xdr:rowOff>25400</xdr:rowOff>
    </xdr:from>
    <xdr:to>
      <xdr:col>9</xdr:col>
      <xdr:colOff>127000</xdr:colOff>
      <xdr:row>24</xdr:row>
      <xdr:rowOff>342900</xdr:rowOff>
    </xdr:to>
    <xdr:sp macro="" textlink="">
      <xdr:nvSpPr>
        <xdr:cNvPr id="52" name="Pentagon 51">
          <a:extLst>
            <a:ext uri="{FF2B5EF4-FFF2-40B4-BE49-F238E27FC236}">
              <a16:creationId xmlns:a16="http://schemas.microsoft.com/office/drawing/2014/main" id="{00000000-0008-0000-0100-000034000000}"/>
            </a:ext>
          </a:extLst>
        </xdr:cNvPr>
        <xdr:cNvSpPr/>
      </xdr:nvSpPr>
      <xdr:spPr>
        <a:xfrm rot="10800000" flipV="1">
          <a:off x="8255000" y="73533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money owed to you</a:t>
          </a:r>
        </a:p>
      </xdr:txBody>
    </xdr:sp>
    <xdr:clientData/>
  </xdr:twoCellAnchor>
  <xdr:twoCellAnchor>
    <xdr:from>
      <xdr:col>9</xdr:col>
      <xdr:colOff>222250</xdr:colOff>
      <xdr:row>24</xdr:row>
      <xdr:rowOff>50800</xdr:rowOff>
    </xdr:from>
    <xdr:to>
      <xdr:col>11</xdr:col>
      <xdr:colOff>4775</xdr:colOff>
      <xdr:row>24</xdr:row>
      <xdr:rowOff>306400</xdr:rowOff>
    </xdr:to>
    <xdr:sp macro="" textlink="">
      <xdr:nvSpPr>
        <xdr:cNvPr id="53" name="Oval 52">
          <a:hlinkClick xmlns:r="http://schemas.openxmlformats.org/officeDocument/2006/relationships" r:id="rId10" tooltip="Need help?"/>
          <a:extLst>
            <a:ext uri="{FF2B5EF4-FFF2-40B4-BE49-F238E27FC236}">
              <a16:creationId xmlns:a16="http://schemas.microsoft.com/office/drawing/2014/main" id="{00000000-0008-0000-0100-000035000000}"/>
            </a:ext>
          </a:extLst>
        </xdr:cNvPr>
        <xdr:cNvSpPr/>
      </xdr:nvSpPr>
      <xdr:spPr>
        <a:xfrm>
          <a:off x="11947525" y="74231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0</xdr:colOff>
      <xdr:row>25</xdr:row>
      <xdr:rowOff>25400</xdr:rowOff>
    </xdr:from>
    <xdr:to>
      <xdr:col>9</xdr:col>
      <xdr:colOff>114300</xdr:colOff>
      <xdr:row>25</xdr:row>
      <xdr:rowOff>342900</xdr:rowOff>
    </xdr:to>
    <xdr:sp macro="" textlink="">
      <xdr:nvSpPr>
        <xdr:cNvPr id="54" name="Pentagon 53">
          <a:extLst>
            <a:ext uri="{FF2B5EF4-FFF2-40B4-BE49-F238E27FC236}">
              <a16:creationId xmlns:a16="http://schemas.microsoft.com/office/drawing/2014/main" id="{00000000-0008-0000-0100-000036000000}"/>
            </a:ext>
          </a:extLst>
        </xdr:cNvPr>
        <xdr:cNvSpPr/>
      </xdr:nvSpPr>
      <xdr:spPr>
        <a:xfrm rot="10800000" flipV="1">
          <a:off x="8242300" y="77089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Asset value (or "value counted" for annuities)</a:t>
          </a:r>
        </a:p>
      </xdr:txBody>
    </xdr:sp>
    <xdr:clientData/>
  </xdr:twoCellAnchor>
  <xdr:twoCellAnchor>
    <xdr:from>
      <xdr:col>9</xdr:col>
      <xdr:colOff>209550</xdr:colOff>
      <xdr:row>25</xdr:row>
      <xdr:rowOff>50800</xdr:rowOff>
    </xdr:from>
    <xdr:to>
      <xdr:col>10</xdr:col>
      <xdr:colOff>173050</xdr:colOff>
      <xdr:row>25</xdr:row>
      <xdr:rowOff>306400</xdr:rowOff>
    </xdr:to>
    <xdr:sp macro="" textlink="">
      <xdr:nvSpPr>
        <xdr:cNvPr id="55" name="Oval 54">
          <a:hlinkClick xmlns:r="http://schemas.openxmlformats.org/officeDocument/2006/relationships" r:id="rId11" tooltip="Need help?"/>
          <a:extLst>
            <a:ext uri="{FF2B5EF4-FFF2-40B4-BE49-F238E27FC236}">
              <a16:creationId xmlns:a16="http://schemas.microsoft.com/office/drawing/2014/main" id="{00000000-0008-0000-0100-000037000000}"/>
            </a:ext>
          </a:extLst>
        </xdr:cNvPr>
        <xdr:cNvSpPr/>
      </xdr:nvSpPr>
      <xdr:spPr>
        <a:xfrm>
          <a:off x="11934825" y="77755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219075</xdr:colOff>
      <xdr:row>28</xdr:row>
      <xdr:rowOff>12700</xdr:rowOff>
    </xdr:from>
    <xdr:to>
      <xdr:col>10</xdr:col>
      <xdr:colOff>179400</xdr:colOff>
      <xdr:row>28</xdr:row>
      <xdr:rowOff>268300</xdr:rowOff>
    </xdr:to>
    <xdr:sp macro="" textlink="">
      <xdr:nvSpPr>
        <xdr:cNvPr id="56" name="Oval 55">
          <a:hlinkClick xmlns:r="http://schemas.openxmlformats.org/officeDocument/2006/relationships" r:id="rId12" tooltip="Need help?"/>
          <a:extLst>
            <a:ext uri="{FF2B5EF4-FFF2-40B4-BE49-F238E27FC236}">
              <a16:creationId xmlns:a16="http://schemas.microsoft.com/office/drawing/2014/main" id="{00000000-0008-0000-0100-000038000000}"/>
            </a:ext>
          </a:extLst>
        </xdr:cNvPr>
        <xdr:cNvSpPr/>
      </xdr:nvSpPr>
      <xdr:spPr>
        <a:xfrm>
          <a:off x="11944350" y="8385175"/>
          <a:ext cx="255600"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234950</xdr:colOff>
      <xdr:row>33</xdr:row>
      <xdr:rowOff>25400</xdr:rowOff>
    </xdr:from>
    <xdr:to>
      <xdr:col>11</xdr:col>
      <xdr:colOff>14300</xdr:colOff>
      <xdr:row>33</xdr:row>
      <xdr:rowOff>281000</xdr:rowOff>
    </xdr:to>
    <xdr:sp macro="" textlink="">
      <xdr:nvSpPr>
        <xdr:cNvPr id="57" name="Oval 56">
          <a:hlinkClick xmlns:r="http://schemas.openxmlformats.org/officeDocument/2006/relationships" r:id="rId13" tooltip="Need help?"/>
          <a:extLst>
            <a:ext uri="{FF2B5EF4-FFF2-40B4-BE49-F238E27FC236}">
              <a16:creationId xmlns:a16="http://schemas.microsoft.com/office/drawing/2014/main" id="{00000000-0008-0000-0100-000039000000}"/>
            </a:ext>
          </a:extLst>
        </xdr:cNvPr>
        <xdr:cNvSpPr/>
      </xdr:nvSpPr>
      <xdr:spPr>
        <a:xfrm>
          <a:off x="11960225" y="9826625"/>
          <a:ext cx="255600"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29</xdr:row>
      <xdr:rowOff>38100</xdr:rowOff>
    </xdr:from>
    <xdr:to>
      <xdr:col>9</xdr:col>
      <xdr:colOff>127000</xdr:colOff>
      <xdr:row>30</xdr:row>
      <xdr:rowOff>0</xdr:rowOff>
    </xdr:to>
    <xdr:sp macro="" textlink="">
      <xdr:nvSpPr>
        <xdr:cNvPr id="58" name="Pentagon 57">
          <a:extLst>
            <a:ext uri="{FF2B5EF4-FFF2-40B4-BE49-F238E27FC236}">
              <a16:creationId xmlns:a16="http://schemas.microsoft.com/office/drawing/2014/main" id="{00000000-0008-0000-0100-00003A000000}"/>
            </a:ext>
          </a:extLst>
        </xdr:cNvPr>
        <xdr:cNvSpPr/>
      </xdr:nvSpPr>
      <xdr:spPr>
        <a:xfrm rot="10800000" flipV="1">
          <a:off x="8255000" y="87376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other investments not listed above</a:t>
          </a:r>
        </a:p>
      </xdr:txBody>
    </xdr:sp>
    <xdr:clientData/>
  </xdr:twoCellAnchor>
  <xdr:twoCellAnchor>
    <xdr:from>
      <xdr:col>9</xdr:col>
      <xdr:colOff>222250</xdr:colOff>
      <xdr:row>29</xdr:row>
      <xdr:rowOff>63500</xdr:rowOff>
    </xdr:from>
    <xdr:to>
      <xdr:col>11</xdr:col>
      <xdr:colOff>4775</xdr:colOff>
      <xdr:row>29</xdr:row>
      <xdr:rowOff>319100</xdr:rowOff>
    </xdr:to>
    <xdr:sp macro="" textlink="">
      <xdr:nvSpPr>
        <xdr:cNvPr id="59" name="Oval 58">
          <a:hlinkClick xmlns:r="http://schemas.openxmlformats.org/officeDocument/2006/relationships" r:id="rId14" tooltip="Need help?"/>
          <a:extLst>
            <a:ext uri="{FF2B5EF4-FFF2-40B4-BE49-F238E27FC236}">
              <a16:creationId xmlns:a16="http://schemas.microsoft.com/office/drawing/2014/main" id="{00000000-0008-0000-0100-00003B000000}"/>
            </a:ext>
          </a:extLst>
        </xdr:cNvPr>
        <xdr:cNvSpPr/>
      </xdr:nvSpPr>
      <xdr:spPr>
        <a:xfrm>
          <a:off x="11947525" y="87884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38100</xdr:colOff>
      <xdr:row>34</xdr:row>
      <xdr:rowOff>12700</xdr:rowOff>
    </xdr:from>
    <xdr:to>
      <xdr:col>9</xdr:col>
      <xdr:colOff>152400</xdr:colOff>
      <xdr:row>34</xdr:row>
      <xdr:rowOff>330200</xdr:rowOff>
    </xdr:to>
    <xdr:sp macro="" textlink="">
      <xdr:nvSpPr>
        <xdr:cNvPr id="62" name="Pentagon 61">
          <a:extLst>
            <a:ext uri="{FF2B5EF4-FFF2-40B4-BE49-F238E27FC236}">
              <a16:creationId xmlns:a16="http://schemas.microsoft.com/office/drawing/2014/main" id="{00000000-0008-0000-0100-00003E000000}"/>
            </a:ext>
          </a:extLst>
        </xdr:cNvPr>
        <xdr:cNvSpPr/>
      </xdr:nvSpPr>
      <xdr:spPr>
        <a:xfrm rot="10800000" flipV="1">
          <a:off x="8280400" y="10160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pensions from overseas</a:t>
          </a:r>
        </a:p>
      </xdr:txBody>
    </xdr:sp>
    <xdr:clientData/>
  </xdr:twoCellAnchor>
  <xdr:twoCellAnchor>
    <xdr:from>
      <xdr:col>9</xdr:col>
      <xdr:colOff>247650</xdr:colOff>
      <xdr:row>34</xdr:row>
      <xdr:rowOff>38100</xdr:rowOff>
    </xdr:from>
    <xdr:to>
      <xdr:col>11</xdr:col>
      <xdr:colOff>30175</xdr:colOff>
      <xdr:row>34</xdr:row>
      <xdr:rowOff>293700</xdr:rowOff>
    </xdr:to>
    <xdr:sp macro="" textlink="">
      <xdr:nvSpPr>
        <xdr:cNvPr id="63" name="Oval 62">
          <a:hlinkClick xmlns:r="http://schemas.openxmlformats.org/officeDocument/2006/relationships" r:id="rId15" tooltip="Need help?"/>
          <a:extLst>
            <a:ext uri="{FF2B5EF4-FFF2-40B4-BE49-F238E27FC236}">
              <a16:creationId xmlns:a16="http://schemas.microsoft.com/office/drawing/2014/main" id="{00000000-0008-0000-0100-00003F000000}"/>
            </a:ext>
          </a:extLst>
        </xdr:cNvPr>
        <xdr:cNvSpPr/>
      </xdr:nvSpPr>
      <xdr:spPr>
        <a:xfrm>
          <a:off x="11972925" y="101917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38100</xdr:colOff>
      <xdr:row>35</xdr:row>
      <xdr:rowOff>25400</xdr:rowOff>
    </xdr:from>
    <xdr:to>
      <xdr:col>9</xdr:col>
      <xdr:colOff>152400</xdr:colOff>
      <xdr:row>35</xdr:row>
      <xdr:rowOff>342900</xdr:rowOff>
    </xdr:to>
    <xdr:sp macro="" textlink="">
      <xdr:nvSpPr>
        <xdr:cNvPr id="64" name="Pentagon 63">
          <a:extLst>
            <a:ext uri="{FF2B5EF4-FFF2-40B4-BE49-F238E27FC236}">
              <a16:creationId xmlns:a16="http://schemas.microsoft.com/office/drawing/2014/main" id="{00000000-0008-0000-0100-000040000000}"/>
            </a:ext>
          </a:extLst>
        </xdr:cNvPr>
        <xdr:cNvSpPr/>
      </xdr:nvSpPr>
      <xdr:spPr>
        <a:xfrm rot="10800000" flipV="1">
          <a:off x="8280400" y="105283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net income</a:t>
          </a:r>
        </a:p>
      </xdr:txBody>
    </xdr:sp>
    <xdr:clientData/>
  </xdr:twoCellAnchor>
  <xdr:twoCellAnchor>
    <xdr:from>
      <xdr:col>9</xdr:col>
      <xdr:colOff>247650</xdr:colOff>
      <xdr:row>35</xdr:row>
      <xdr:rowOff>50800</xdr:rowOff>
    </xdr:from>
    <xdr:to>
      <xdr:col>11</xdr:col>
      <xdr:colOff>30175</xdr:colOff>
      <xdr:row>35</xdr:row>
      <xdr:rowOff>306400</xdr:rowOff>
    </xdr:to>
    <xdr:sp macro="" textlink="">
      <xdr:nvSpPr>
        <xdr:cNvPr id="65" name="Oval 64">
          <a:hlinkClick xmlns:r="http://schemas.openxmlformats.org/officeDocument/2006/relationships" r:id="rId16" tooltip="Need help?"/>
          <a:extLst>
            <a:ext uri="{FF2B5EF4-FFF2-40B4-BE49-F238E27FC236}">
              <a16:creationId xmlns:a16="http://schemas.microsoft.com/office/drawing/2014/main" id="{00000000-0008-0000-0100-000041000000}"/>
            </a:ext>
          </a:extLst>
        </xdr:cNvPr>
        <xdr:cNvSpPr/>
      </xdr:nvSpPr>
      <xdr:spPr>
        <a:xfrm>
          <a:off x="11972925" y="105568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36</xdr:row>
      <xdr:rowOff>25400</xdr:rowOff>
    </xdr:from>
    <xdr:to>
      <xdr:col>9</xdr:col>
      <xdr:colOff>139700</xdr:colOff>
      <xdr:row>36</xdr:row>
      <xdr:rowOff>342900</xdr:rowOff>
    </xdr:to>
    <xdr:sp macro="" textlink="">
      <xdr:nvSpPr>
        <xdr:cNvPr id="66" name="Pentagon 65">
          <a:extLst>
            <a:ext uri="{FF2B5EF4-FFF2-40B4-BE49-F238E27FC236}">
              <a16:creationId xmlns:a16="http://schemas.microsoft.com/office/drawing/2014/main" id="{00000000-0008-0000-0100-000042000000}"/>
            </a:ext>
          </a:extLst>
        </xdr:cNvPr>
        <xdr:cNvSpPr/>
      </xdr:nvSpPr>
      <xdr:spPr>
        <a:xfrm rot="10800000" flipV="1">
          <a:off x="8267700" y="108839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Other income</a:t>
          </a:r>
        </a:p>
      </xdr:txBody>
    </xdr:sp>
    <xdr:clientData/>
  </xdr:twoCellAnchor>
  <xdr:twoCellAnchor>
    <xdr:from>
      <xdr:col>9</xdr:col>
      <xdr:colOff>234950</xdr:colOff>
      <xdr:row>36</xdr:row>
      <xdr:rowOff>50800</xdr:rowOff>
    </xdr:from>
    <xdr:to>
      <xdr:col>11</xdr:col>
      <xdr:colOff>17475</xdr:colOff>
      <xdr:row>36</xdr:row>
      <xdr:rowOff>306400</xdr:rowOff>
    </xdr:to>
    <xdr:sp macro="" textlink="">
      <xdr:nvSpPr>
        <xdr:cNvPr id="67" name="Oval 66">
          <a:hlinkClick xmlns:r="http://schemas.openxmlformats.org/officeDocument/2006/relationships" r:id="rId17" tooltip="Need help?"/>
          <a:extLst>
            <a:ext uri="{FF2B5EF4-FFF2-40B4-BE49-F238E27FC236}">
              <a16:creationId xmlns:a16="http://schemas.microsoft.com/office/drawing/2014/main" id="{00000000-0008-0000-0100-000043000000}"/>
            </a:ext>
          </a:extLst>
        </xdr:cNvPr>
        <xdr:cNvSpPr/>
      </xdr:nvSpPr>
      <xdr:spPr>
        <a:xfrm>
          <a:off x="11960225" y="109093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mplyretirement.com.au/contact-simplyretirement" TargetMode="External"/><Relationship Id="rId3" Type="http://schemas.openxmlformats.org/officeDocument/2006/relationships/hyperlink" Target="http://simplyretirement.com.au/contact-simplyretirement" TargetMode="External"/><Relationship Id="rId7" Type="http://schemas.openxmlformats.org/officeDocument/2006/relationships/hyperlink" Target="http://simplyretirement.com.au/contact-simplyretirement" TargetMode="External"/><Relationship Id="rId2" Type="http://schemas.openxmlformats.org/officeDocument/2006/relationships/hyperlink" Target="http://simplyretirement.com.au/contact-simplyretirement" TargetMode="External"/><Relationship Id="rId1" Type="http://schemas.openxmlformats.org/officeDocument/2006/relationships/hyperlink" Target="http://simplyretirement.com.au/contact-simplyretirement" TargetMode="External"/><Relationship Id="rId6" Type="http://schemas.openxmlformats.org/officeDocument/2006/relationships/hyperlink" Target="http://simplyretirement.com.au/contact-simplyretirement" TargetMode="External"/><Relationship Id="rId5" Type="http://schemas.openxmlformats.org/officeDocument/2006/relationships/hyperlink" Target="http://simplyretirement.com.au/contact-simplyretirement" TargetMode="External"/><Relationship Id="rId4" Type="http://schemas.openxmlformats.org/officeDocument/2006/relationships/hyperlink" Target="http://simplyretirement.com.au/contact-simplyretirement"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Y239"/>
  <sheetViews>
    <sheetView showRowColHeaders="0" workbookViewId="0">
      <selection activeCell="E17" sqref="E17"/>
    </sheetView>
  </sheetViews>
  <sheetFormatPr defaultColWidth="11" defaultRowHeight="15.6"/>
  <cols>
    <col min="1" max="1" width="3.19921875" style="31" customWidth="1"/>
    <col min="2" max="2" width="26.5" style="31" customWidth="1"/>
    <col min="3" max="3" width="54.69921875" style="31" customWidth="1"/>
    <col min="4" max="4" width="1.5" style="31" customWidth="1"/>
    <col min="5" max="5" width="22.19921875" style="31" customWidth="1"/>
    <col min="6" max="6" width="1.69921875" style="31" customWidth="1"/>
    <col min="7" max="7" width="20.69921875" style="31" customWidth="1"/>
    <col min="8" max="8" width="1.69921875" style="31" customWidth="1"/>
    <col min="9" max="9" width="19.19921875" style="31" customWidth="1"/>
    <col min="10" max="10" width="3.69921875" style="31" customWidth="1"/>
    <col min="14" max="77" width="11" style="137"/>
  </cols>
  <sheetData>
    <row r="1" spans="1:77" s="31" customFormat="1" ht="1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row>
    <row r="2" spans="1:77" s="31" customFormat="1" ht="1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row>
    <row r="3" spans="1:77" s="31" customFormat="1" ht="28.95" customHeight="1">
      <c r="A3" s="58"/>
      <c r="B3" s="58"/>
      <c r="C3" s="58"/>
      <c r="D3" s="58"/>
      <c r="E3" s="58"/>
      <c r="F3" s="58"/>
      <c r="G3" s="58"/>
      <c r="H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row>
    <row r="4" spans="1:77" s="31" customFormat="1" ht="28.2" customHeight="1">
      <c r="A4" s="58"/>
      <c r="B4" s="58"/>
      <c r="C4" s="58"/>
      <c r="D4" s="58"/>
      <c r="E4" s="58"/>
      <c r="F4" s="58"/>
      <c r="G4" s="58"/>
      <c r="H4" s="58"/>
      <c r="I4" s="62" t="s">
        <v>118</v>
      </c>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row>
    <row r="5" spans="1:77" s="31" customFormat="1" ht="15" customHeight="1">
      <c r="A5" s="58"/>
      <c r="B5" s="58"/>
      <c r="C5" s="58" t="s">
        <v>93</v>
      </c>
      <c r="D5" s="58"/>
      <c r="E5" s="58"/>
      <c r="F5" s="58"/>
      <c r="G5" s="61"/>
      <c r="H5" s="61"/>
      <c r="I5" s="59"/>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row>
    <row r="6" spans="1:77" s="31" customFormat="1" ht="28.95" customHeight="1">
      <c r="A6" s="58"/>
      <c r="B6" s="58"/>
      <c r="C6" s="58"/>
      <c r="D6" s="58"/>
      <c r="E6" s="58"/>
      <c r="F6" s="58"/>
      <c r="G6" s="61"/>
      <c r="H6" s="61"/>
      <c r="I6" s="59" t="str">
        <f>"Current as at: "&amp;data!D2</f>
        <v>Current as at: 20 Sept 2025</v>
      </c>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row>
    <row r="7" spans="1:77" s="31" customFormat="1" ht="45" customHeight="1">
      <c r="A7" s="58"/>
      <c r="B7" s="70"/>
      <c r="C7" s="58"/>
      <c r="D7" s="58"/>
      <c r="E7" s="58"/>
      <c r="F7" s="58"/>
      <c r="G7" s="61"/>
      <c r="H7" s="61"/>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row>
    <row r="8" spans="1:77" s="31" customFormat="1" ht="15" customHeight="1">
      <c r="A8" s="56"/>
      <c r="B8" s="184"/>
      <c r="C8" s="184"/>
      <c r="D8" s="184"/>
      <c r="E8" s="184"/>
      <c r="F8" s="184"/>
      <c r="G8" s="184"/>
      <c r="H8" s="57"/>
      <c r="I8" s="56"/>
      <c r="J8" s="56"/>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row>
    <row r="9" spans="1:77" s="31" customFormat="1" ht="37.200000000000003" customHeight="1">
      <c r="A9" s="56"/>
      <c r="B9" s="186" t="s">
        <v>188</v>
      </c>
      <c r="C9" s="185"/>
      <c r="D9" s="185"/>
      <c r="E9" s="185"/>
      <c r="F9" s="185"/>
      <c r="G9" s="185"/>
      <c r="H9" s="185"/>
      <c r="I9" s="185"/>
      <c r="J9" s="56"/>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row>
    <row r="10" spans="1:77" s="31" customFormat="1" ht="163.95" customHeight="1">
      <c r="A10" s="56"/>
      <c r="B10" s="185" t="s">
        <v>181</v>
      </c>
      <c r="C10" s="185"/>
      <c r="D10" s="185"/>
      <c r="E10" s="185"/>
      <c r="F10" s="185"/>
      <c r="G10" s="185"/>
      <c r="H10" s="185"/>
      <c r="I10" s="185"/>
      <c r="J10" s="56"/>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row>
    <row r="11" spans="1:77" s="31" customFormat="1" ht="138" customHeight="1">
      <c r="A11" s="56"/>
      <c r="B11" s="185" t="s">
        <v>182</v>
      </c>
      <c r="C11" s="185"/>
      <c r="D11" s="185"/>
      <c r="E11" s="185"/>
      <c r="F11" s="185"/>
      <c r="G11" s="185"/>
      <c r="H11" s="185"/>
      <c r="I11" s="185"/>
      <c r="J11" s="56"/>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row>
    <row r="12" spans="1:77" s="31" customFormat="1" ht="157.19999999999999" customHeight="1">
      <c r="A12" s="56"/>
      <c r="B12" s="185" t="s">
        <v>183</v>
      </c>
      <c r="C12" s="185"/>
      <c r="D12" s="185"/>
      <c r="E12" s="185"/>
      <c r="F12" s="185"/>
      <c r="G12" s="185"/>
      <c r="H12" s="185"/>
      <c r="I12" s="185"/>
      <c r="J12" s="56"/>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row>
    <row r="13" spans="1:77" s="31" customFormat="1" ht="121.2" customHeight="1">
      <c r="A13" s="56"/>
      <c r="B13" s="185" t="s">
        <v>184</v>
      </c>
      <c r="C13" s="185"/>
      <c r="D13" s="185"/>
      <c r="E13" s="185"/>
      <c r="F13" s="185"/>
      <c r="G13" s="185"/>
      <c r="H13" s="185"/>
      <c r="I13" s="185"/>
      <c r="J13" s="56"/>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row>
    <row r="14" spans="1:77" s="31" customFormat="1" ht="109.95" customHeight="1">
      <c r="A14" s="56"/>
      <c r="B14" s="185" t="s">
        <v>185</v>
      </c>
      <c r="C14" s="185"/>
      <c r="D14" s="185"/>
      <c r="E14" s="185"/>
      <c r="F14" s="185"/>
      <c r="G14" s="185"/>
      <c r="H14" s="185"/>
      <c r="I14" s="185"/>
      <c r="J14" s="56"/>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row>
    <row r="15" spans="1:77" s="31" customFormat="1" ht="85.95" customHeight="1">
      <c r="A15" s="56"/>
      <c r="B15" s="185" t="s">
        <v>186</v>
      </c>
      <c r="C15" s="185"/>
      <c r="D15" s="185"/>
      <c r="E15" s="185"/>
      <c r="F15" s="185"/>
      <c r="G15" s="185"/>
      <c r="H15" s="185"/>
      <c r="I15" s="185"/>
      <c r="J15" s="56"/>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row>
    <row r="16" spans="1:77" s="31" customFormat="1" ht="139.19999999999999" customHeight="1">
      <c r="A16" s="56"/>
      <c r="B16" s="185" t="s">
        <v>187</v>
      </c>
      <c r="C16" s="185"/>
      <c r="D16" s="185"/>
      <c r="E16" s="185"/>
      <c r="F16" s="185"/>
      <c r="G16" s="185"/>
      <c r="H16" s="185"/>
      <c r="I16" s="185"/>
      <c r="J16" s="56"/>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row>
    <row r="17" spans="1:77" s="31" customFormat="1" ht="121.95" customHeight="1">
      <c r="A17" s="56"/>
      <c r="B17" s="185" t="s">
        <v>190</v>
      </c>
      <c r="C17" s="185"/>
      <c r="D17" s="185"/>
      <c r="E17" s="185"/>
      <c r="F17" s="185"/>
      <c r="G17" s="185"/>
      <c r="H17" s="185"/>
      <c r="I17" s="185"/>
      <c r="J17" s="56"/>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row>
    <row r="18" spans="1:77" s="31" customFormat="1" ht="91.95" customHeight="1">
      <c r="A18" s="56"/>
      <c r="B18" s="185" t="s">
        <v>180</v>
      </c>
      <c r="C18" s="185"/>
      <c r="D18" s="185"/>
      <c r="E18" s="185"/>
      <c r="F18" s="185"/>
      <c r="G18" s="185"/>
      <c r="H18" s="185"/>
      <c r="I18" s="185"/>
      <c r="J18" s="56"/>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row>
    <row r="19" spans="1:77" ht="73.2" customHeight="1">
      <c r="A19" s="133"/>
      <c r="B19" s="182" t="s">
        <v>189</v>
      </c>
      <c r="C19" s="183"/>
      <c r="D19" s="183"/>
      <c r="E19" s="183"/>
      <c r="F19" s="183"/>
      <c r="G19" s="183"/>
      <c r="H19" s="183"/>
      <c r="I19" s="183"/>
      <c r="J19" s="133"/>
      <c r="K19" s="137"/>
      <c r="L19" s="137"/>
      <c r="M19" s="137"/>
    </row>
    <row r="20" spans="1:77">
      <c r="A20" s="133"/>
      <c r="B20" s="133"/>
      <c r="C20" s="133"/>
      <c r="D20" s="133"/>
      <c r="E20" s="133"/>
      <c r="F20" s="133"/>
      <c r="G20" s="133"/>
      <c r="H20" s="133"/>
      <c r="I20" s="133"/>
      <c r="J20" s="133"/>
      <c r="K20" s="137"/>
      <c r="L20" s="137"/>
      <c r="M20" s="137"/>
    </row>
    <row r="21" spans="1:77">
      <c r="A21" s="133"/>
      <c r="B21" s="133"/>
      <c r="C21" s="133"/>
      <c r="D21" s="133"/>
      <c r="E21" s="133"/>
      <c r="F21" s="133"/>
      <c r="G21" s="133"/>
      <c r="H21" s="133"/>
      <c r="I21" s="133"/>
      <c r="J21" s="133"/>
      <c r="K21" s="137"/>
      <c r="L21" s="137"/>
      <c r="M21" s="137"/>
    </row>
    <row r="22" spans="1:77">
      <c r="A22" s="137"/>
      <c r="B22" s="137"/>
      <c r="C22" s="137"/>
      <c r="D22" s="137"/>
      <c r="E22" s="137"/>
      <c r="F22" s="137"/>
      <c r="G22" s="137"/>
      <c r="H22" s="137"/>
      <c r="I22" s="137"/>
      <c r="J22" s="137"/>
      <c r="K22" s="137"/>
      <c r="L22" s="137"/>
      <c r="M22" s="137"/>
    </row>
    <row r="23" spans="1:77">
      <c r="A23" s="137"/>
      <c r="B23" s="137"/>
      <c r="C23" s="137"/>
      <c r="D23" s="137"/>
      <c r="E23" s="137"/>
      <c r="F23" s="137"/>
      <c r="G23" s="137"/>
      <c r="H23" s="137"/>
      <c r="I23" s="137"/>
      <c r="J23" s="137"/>
      <c r="K23" s="137"/>
      <c r="L23" s="137"/>
      <c r="M23" s="137"/>
    </row>
    <row r="24" spans="1:77" s="137" customFormat="1"/>
    <row r="25" spans="1:77" s="137" customFormat="1"/>
    <row r="26" spans="1:77" s="137" customFormat="1"/>
    <row r="27" spans="1:77" s="137" customFormat="1"/>
    <row r="28" spans="1:77" s="137" customFormat="1"/>
    <row r="29" spans="1:77" s="137" customFormat="1"/>
    <row r="30" spans="1:77" s="137" customFormat="1"/>
    <row r="31" spans="1:77" s="137" customFormat="1"/>
    <row r="32" spans="1:77" s="137" customFormat="1"/>
    <row r="33" s="137" customFormat="1"/>
    <row r="34" s="137" customFormat="1"/>
    <row r="35" s="137" customFormat="1"/>
    <row r="36" s="137" customFormat="1"/>
    <row r="37" s="137" customFormat="1"/>
    <row r="38" s="137" customFormat="1"/>
    <row r="39" s="137" customFormat="1"/>
    <row r="40" s="137" customFormat="1"/>
    <row r="41" s="137" customFormat="1"/>
    <row r="42" s="137" customFormat="1"/>
    <row r="43" s="137" customFormat="1"/>
    <row r="44" s="137" customFormat="1"/>
    <row r="45" s="137" customFormat="1"/>
    <row r="46" s="137" customFormat="1"/>
    <row r="47" s="137" customFormat="1"/>
    <row r="48" s="137" customFormat="1"/>
    <row r="49" s="137" customFormat="1"/>
    <row r="50" s="137" customFormat="1"/>
    <row r="51" s="137" customFormat="1"/>
    <row r="52" s="137" customFormat="1"/>
    <row r="53" s="137" customFormat="1"/>
    <row r="54" s="137" customFormat="1"/>
    <row r="55" s="137" customFormat="1"/>
    <row r="56" s="137" customFormat="1"/>
    <row r="57" s="137" customFormat="1"/>
    <row r="58" s="137" customFormat="1"/>
    <row r="59" s="137" customFormat="1"/>
    <row r="60" s="137" customFormat="1"/>
    <row r="61" s="137" customFormat="1"/>
    <row r="62" s="137" customFormat="1"/>
    <row r="63" s="137" customFormat="1"/>
    <row r="64" s="137" customFormat="1"/>
    <row r="65" s="137" customFormat="1"/>
    <row r="66" s="137" customFormat="1"/>
    <row r="67" s="137" customFormat="1"/>
    <row r="68" s="137" customFormat="1"/>
    <row r="69" s="137" customFormat="1"/>
    <row r="70" s="137" customFormat="1"/>
    <row r="71" s="137" customFormat="1"/>
    <row r="72" s="137" customFormat="1"/>
    <row r="73" s="137" customFormat="1"/>
    <row r="74" s="137" customFormat="1"/>
    <row r="75" s="137" customFormat="1"/>
    <row r="76" s="137" customFormat="1"/>
    <row r="77" s="137" customFormat="1"/>
    <row r="78" s="137" customFormat="1"/>
    <row r="79" s="137" customFormat="1"/>
    <row r="80" s="137" customFormat="1"/>
    <row r="81" s="137" customFormat="1"/>
    <row r="82" s="137" customFormat="1"/>
    <row r="83" s="137" customFormat="1"/>
    <row r="84" s="137" customFormat="1"/>
    <row r="85" s="137" customFormat="1"/>
    <row r="86" s="137" customFormat="1"/>
    <row r="87" s="137" customFormat="1"/>
    <row r="88" s="137" customFormat="1"/>
    <row r="89" s="137" customFormat="1"/>
    <row r="90" s="137" customFormat="1"/>
    <row r="91" s="137" customFormat="1"/>
    <row r="92" s="137" customFormat="1"/>
    <row r="93" s="137" customFormat="1"/>
    <row r="94" s="137" customFormat="1"/>
    <row r="95" s="137" customFormat="1"/>
    <row r="96" s="137" customFormat="1"/>
    <row r="97" s="137" customFormat="1"/>
    <row r="98" s="137" customFormat="1"/>
    <row r="99" s="137" customFormat="1"/>
    <row r="100" s="137" customFormat="1"/>
    <row r="101" s="137" customFormat="1"/>
    <row r="102" s="137" customFormat="1"/>
    <row r="103" s="137" customFormat="1"/>
    <row r="104" s="137" customFormat="1"/>
    <row r="105" s="137" customFormat="1"/>
    <row r="106" s="137" customFormat="1"/>
    <row r="107" s="137" customFormat="1"/>
    <row r="108" s="137" customFormat="1"/>
    <row r="109" s="137" customFormat="1"/>
    <row r="110" s="137" customFormat="1"/>
    <row r="111" s="137" customFormat="1"/>
    <row r="112" s="137" customFormat="1"/>
    <row r="113" s="137" customFormat="1"/>
    <row r="114" s="137" customFormat="1"/>
    <row r="115" s="137" customFormat="1"/>
    <row r="116" s="137" customFormat="1"/>
    <row r="117" s="137" customFormat="1"/>
    <row r="118" s="137" customFormat="1"/>
    <row r="119" s="137" customFormat="1"/>
    <row r="120" s="137" customFormat="1"/>
    <row r="121" s="137" customFormat="1"/>
    <row r="122" s="137" customFormat="1"/>
    <row r="123" s="137" customFormat="1"/>
    <row r="124" s="137" customFormat="1"/>
    <row r="125" s="137" customFormat="1"/>
    <row r="126" s="137" customFormat="1"/>
    <row r="127" s="137" customFormat="1"/>
    <row r="128" s="137" customFormat="1"/>
    <row r="129" spans="1:10" s="137" customFormat="1"/>
    <row r="130" spans="1:10" s="137" customFormat="1"/>
    <row r="131" spans="1:10" s="137" customFormat="1"/>
    <row r="132" spans="1:10" s="137" customFormat="1"/>
    <row r="133" spans="1:10" s="137" customFormat="1"/>
    <row r="134" spans="1:10" s="137" customFormat="1"/>
    <row r="135" spans="1:10" s="137" customFormat="1"/>
    <row r="136" spans="1:10">
      <c r="A136"/>
      <c r="B136"/>
      <c r="C136"/>
      <c r="D136"/>
      <c r="E136"/>
      <c r="F136"/>
      <c r="G136"/>
      <c r="H136"/>
      <c r="I136"/>
      <c r="J136"/>
    </row>
    <row r="137" spans="1:10">
      <c r="A137"/>
      <c r="B137"/>
      <c r="C137"/>
      <c r="D137"/>
      <c r="E137"/>
      <c r="F137"/>
      <c r="G137"/>
      <c r="H137"/>
      <c r="I137"/>
      <c r="J137"/>
    </row>
    <row r="138" spans="1:10">
      <c r="A138"/>
      <c r="B138"/>
      <c r="C138"/>
      <c r="D138"/>
      <c r="E138"/>
      <c r="F138"/>
      <c r="G138"/>
      <c r="H138"/>
      <c r="I138"/>
      <c r="J138"/>
    </row>
    <row r="139" spans="1:10">
      <c r="A139"/>
      <c r="B139"/>
      <c r="C139"/>
      <c r="D139"/>
      <c r="E139"/>
      <c r="F139"/>
      <c r="G139"/>
      <c r="H139"/>
      <c r="I139"/>
      <c r="J139"/>
    </row>
    <row r="140" spans="1:10">
      <c r="A140"/>
      <c r="B140"/>
      <c r="C140"/>
      <c r="D140"/>
      <c r="E140"/>
      <c r="F140"/>
      <c r="G140"/>
      <c r="H140"/>
      <c r="I140"/>
      <c r="J140"/>
    </row>
    <row r="141" spans="1:10">
      <c r="A141"/>
      <c r="B141"/>
      <c r="C141"/>
      <c r="D141"/>
      <c r="E141"/>
      <c r="F141"/>
      <c r="G141"/>
      <c r="H141"/>
      <c r="I141"/>
      <c r="J141"/>
    </row>
    <row r="142" spans="1:10">
      <c r="A142"/>
      <c r="B142"/>
      <c r="C142"/>
      <c r="D142"/>
      <c r="E142"/>
      <c r="F142"/>
      <c r="G142"/>
      <c r="H142"/>
      <c r="I142"/>
      <c r="J142"/>
    </row>
    <row r="143" spans="1:10">
      <c r="A143"/>
      <c r="B143"/>
      <c r="C143"/>
      <c r="D143"/>
      <c r="E143"/>
      <c r="F143"/>
      <c r="G143"/>
      <c r="H143"/>
      <c r="I143"/>
      <c r="J143"/>
    </row>
    <row r="144" spans="1:10">
      <c r="A144"/>
      <c r="B144"/>
      <c r="C144"/>
      <c r="D144"/>
      <c r="E144"/>
      <c r="F144"/>
      <c r="G144"/>
      <c r="H144"/>
      <c r="I144"/>
      <c r="J144"/>
    </row>
    <row r="145" spans="1:10">
      <c r="A145"/>
      <c r="B145"/>
      <c r="C145"/>
      <c r="D145"/>
      <c r="E145"/>
      <c r="F145"/>
      <c r="G145"/>
      <c r="H145"/>
      <c r="I145"/>
      <c r="J145"/>
    </row>
    <row r="146" spans="1:10">
      <c r="A146"/>
      <c r="B146"/>
      <c r="C146"/>
      <c r="D146"/>
      <c r="E146"/>
      <c r="F146"/>
      <c r="G146"/>
      <c r="H146"/>
      <c r="I146"/>
      <c r="J146"/>
    </row>
    <row r="147" spans="1:10">
      <c r="A147"/>
      <c r="B147"/>
      <c r="C147"/>
      <c r="D147"/>
      <c r="E147"/>
      <c r="F147"/>
      <c r="G147"/>
      <c r="H147"/>
      <c r="I147"/>
      <c r="J147"/>
    </row>
    <row r="148" spans="1:10">
      <c r="A148"/>
      <c r="B148"/>
      <c r="C148"/>
      <c r="D148"/>
      <c r="E148"/>
      <c r="F148"/>
      <c r="G148"/>
      <c r="H148"/>
      <c r="I148"/>
      <c r="J148"/>
    </row>
    <row r="149" spans="1:10">
      <c r="A149"/>
      <c r="B149"/>
      <c r="C149"/>
      <c r="D149"/>
      <c r="E149"/>
      <c r="F149"/>
      <c r="G149"/>
      <c r="H149"/>
      <c r="I149"/>
      <c r="J149"/>
    </row>
    <row r="150" spans="1:10">
      <c r="A150"/>
      <c r="B150"/>
      <c r="C150"/>
      <c r="D150"/>
      <c r="E150"/>
      <c r="F150"/>
      <c r="G150"/>
      <c r="H150"/>
      <c r="I150"/>
      <c r="J150"/>
    </row>
    <row r="151" spans="1:10">
      <c r="A151"/>
      <c r="B151"/>
      <c r="C151"/>
      <c r="D151"/>
      <c r="E151"/>
      <c r="F151"/>
      <c r="G151"/>
      <c r="H151"/>
      <c r="I151"/>
      <c r="J151"/>
    </row>
    <row r="152" spans="1:10">
      <c r="A152"/>
      <c r="B152"/>
      <c r="C152"/>
      <c r="D152"/>
      <c r="E152"/>
      <c r="F152"/>
      <c r="G152"/>
      <c r="H152"/>
      <c r="I152"/>
      <c r="J152"/>
    </row>
    <row r="153" spans="1:10">
      <c r="A153"/>
      <c r="B153"/>
      <c r="C153"/>
      <c r="D153"/>
      <c r="E153"/>
      <c r="F153"/>
      <c r="G153"/>
      <c r="H153"/>
      <c r="I153"/>
      <c r="J153"/>
    </row>
    <row r="154" spans="1:10">
      <c r="A154"/>
      <c r="B154"/>
      <c r="C154"/>
      <c r="D154"/>
      <c r="E154"/>
      <c r="F154"/>
      <c r="G154"/>
      <c r="H154"/>
      <c r="I154"/>
      <c r="J154"/>
    </row>
    <row r="155" spans="1:10">
      <c r="A155"/>
      <c r="B155"/>
      <c r="C155"/>
      <c r="D155"/>
      <c r="E155"/>
      <c r="F155"/>
      <c r="G155"/>
      <c r="H155"/>
      <c r="I155"/>
      <c r="J155"/>
    </row>
    <row r="156" spans="1:10">
      <c r="A156"/>
      <c r="B156"/>
      <c r="C156"/>
      <c r="D156"/>
      <c r="E156"/>
      <c r="F156"/>
      <c r="G156"/>
      <c r="H156"/>
      <c r="I156"/>
      <c r="J156"/>
    </row>
    <row r="157" spans="1:10">
      <c r="A157"/>
      <c r="B157"/>
      <c r="C157"/>
      <c r="D157"/>
      <c r="E157"/>
      <c r="F157"/>
      <c r="G157"/>
      <c r="H157"/>
      <c r="I157"/>
      <c r="J157"/>
    </row>
    <row r="158" spans="1:10">
      <c r="A158"/>
      <c r="B158"/>
      <c r="C158"/>
      <c r="D158"/>
      <c r="E158"/>
      <c r="F158"/>
      <c r="G158"/>
      <c r="H158"/>
      <c r="I158"/>
      <c r="J158"/>
    </row>
    <row r="159" spans="1:10">
      <c r="A159"/>
      <c r="B159"/>
      <c r="C159"/>
      <c r="D159"/>
      <c r="E159"/>
      <c r="F159"/>
      <c r="G159"/>
      <c r="H159"/>
      <c r="I159"/>
      <c r="J159"/>
    </row>
    <row r="160" spans="1:10">
      <c r="A160"/>
      <c r="B160"/>
      <c r="C160"/>
      <c r="D160"/>
      <c r="E160"/>
      <c r="F160"/>
      <c r="G160"/>
      <c r="H160"/>
      <c r="I160"/>
      <c r="J160"/>
    </row>
    <row r="161" spans="1:10">
      <c r="A161"/>
      <c r="B161"/>
      <c r="C161"/>
      <c r="D161"/>
      <c r="E161"/>
      <c r="F161"/>
      <c r="G161"/>
      <c r="H161"/>
      <c r="I161"/>
      <c r="J161"/>
    </row>
    <row r="162" spans="1:10">
      <c r="A162"/>
      <c r="B162"/>
      <c r="C162"/>
      <c r="D162"/>
      <c r="E162"/>
      <c r="F162"/>
      <c r="G162"/>
      <c r="H162"/>
      <c r="I162"/>
      <c r="J162"/>
    </row>
    <row r="163" spans="1:10">
      <c r="A163"/>
      <c r="B163"/>
      <c r="C163"/>
      <c r="D163"/>
      <c r="E163"/>
      <c r="F163"/>
      <c r="G163"/>
      <c r="H163"/>
      <c r="I163"/>
      <c r="J163"/>
    </row>
    <row r="164" spans="1:10">
      <c r="A164"/>
      <c r="B164"/>
      <c r="C164"/>
      <c r="D164"/>
      <c r="E164"/>
      <c r="F164"/>
      <c r="G164"/>
      <c r="H164"/>
      <c r="I164"/>
      <c r="J164"/>
    </row>
    <row r="165" spans="1:10">
      <c r="A165"/>
      <c r="B165"/>
      <c r="C165"/>
      <c r="D165"/>
      <c r="E165"/>
      <c r="F165"/>
      <c r="G165"/>
      <c r="H165"/>
      <c r="I165"/>
      <c r="J165"/>
    </row>
    <row r="166" spans="1:10">
      <c r="A166"/>
      <c r="B166"/>
      <c r="C166"/>
      <c r="D166"/>
      <c r="E166"/>
      <c r="F166"/>
      <c r="G166"/>
      <c r="H166"/>
      <c r="I166"/>
      <c r="J166"/>
    </row>
    <row r="167" spans="1:10">
      <c r="A167"/>
      <c r="B167"/>
      <c r="C167"/>
      <c r="D167"/>
      <c r="E167"/>
      <c r="F167"/>
      <c r="G167"/>
      <c r="H167"/>
      <c r="I167"/>
      <c r="J167"/>
    </row>
    <row r="168" spans="1:10">
      <c r="A168"/>
      <c r="B168"/>
      <c r="C168"/>
      <c r="D168"/>
      <c r="E168"/>
      <c r="F168"/>
      <c r="G168"/>
      <c r="H168"/>
      <c r="I168"/>
      <c r="J168"/>
    </row>
    <row r="169" spans="1:10">
      <c r="A169"/>
      <c r="B169"/>
      <c r="C169"/>
      <c r="D169"/>
      <c r="E169"/>
      <c r="F169"/>
      <c r="G169"/>
      <c r="H169"/>
      <c r="I169"/>
      <c r="J169"/>
    </row>
    <row r="170" spans="1:10">
      <c r="A170"/>
      <c r="B170"/>
      <c r="C170"/>
      <c r="D170"/>
      <c r="E170"/>
      <c r="F170"/>
      <c r="G170"/>
      <c r="H170"/>
      <c r="I170"/>
      <c r="J170"/>
    </row>
    <row r="171" spans="1:10">
      <c r="A171"/>
      <c r="B171"/>
      <c r="C171"/>
      <c r="D171"/>
      <c r="E171"/>
      <c r="F171"/>
      <c r="G171"/>
      <c r="H171"/>
      <c r="I171"/>
      <c r="J171"/>
    </row>
    <row r="172" spans="1:10">
      <c r="A172"/>
      <c r="B172"/>
      <c r="C172"/>
      <c r="D172"/>
      <c r="E172"/>
      <c r="F172"/>
      <c r="G172"/>
      <c r="H172"/>
      <c r="I172"/>
      <c r="J172"/>
    </row>
    <row r="173" spans="1:10">
      <c r="A173"/>
      <c r="B173"/>
      <c r="C173"/>
      <c r="D173"/>
      <c r="E173"/>
      <c r="F173"/>
      <c r="G173"/>
      <c r="H173"/>
      <c r="I173"/>
      <c r="J173"/>
    </row>
    <row r="174" spans="1:10">
      <c r="A174"/>
      <c r="B174"/>
      <c r="C174"/>
      <c r="D174"/>
      <c r="E174"/>
      <c r="F174"/>
      <c r="G174"/>
      <c r="H174"/>
      <c r="I174"/>
      <c r="J174"/>
    </row>
    <row r="175" spans="1:10">
      <c r="A175"/>
      <c r="B175"/>
      <c r="C175"/>
      <c r="D175"/>
      <c r="E175"/>
      <c r="F175"/>
      <c r="G175"/>
      <c r="H175"/>
      <c r="I175"/>
      <c r="J175"/>
    </row>
    <row r="176" spans="1:10">
      <c r="A176"/>
      <c r="B176"/>
      <c r="C176"/>
      <c r="D176"/>
      <c r="E176"/>
      <c r="F176"/>
      <c r="G176"/>
      <c r="H176"/>
      <c r="I176"/>
      <c r="J176"/>
    </row>
    <row r="177" spans="1:10">
      <c r="A177"/>
      <c r="B177"/>
      <c r="C177"/>
      <c r="D177"/>
      <c r="E177"/>
      <c r="F177"/>
      <c r="G177"/>
      <c r="H177"/>
      <c r="I177"/>
      <c r="J177"/>
    </row>
    <row r="178" spans="1:10">
      <c r="A178"/>
      <c r="B178"/>
      <c r="C178"/>
      <c r="D178"/>
      <c r="E178"/>
      <c r="F178"/>
      <c r="G178"/>
      <c r="H178"/>
      <c r="I178"/>
      <c r="J178"/>
    </row>
    <row r="179" spans="1:10">
      <c r="A179"/>
      <c r="B179"/>
      <c r="C179"/>
      <c r="D179"/>
      <c r="E179"/>
      <c r="F179"/>
      <c r="G179"/>
      <c r="H179"/>
      <c r="I179"/>
      <c r="J179"/>
    </row>
    <row r="180" spans="1:10">
      <c r="A180"/>
      <c r="B180"/>
      <c r="C180"/>
      <c r="D180"/>
      <c r="E180"/>
      <c r="F180"/>
      <c r="G180"/>
      <c r="H180"/>
      <c r="I180"/>
      <c r="J180"/>
    </row>
    <row r="181" spans="1:10">
      <c r="A181"/>
      <c r="B181"/>
      <c r="C181"/>
      <c r="D181"/>
      <c r="E181"/>
      <c r="F181"/>
      <c r="G181"/>
      <c r="H181"/>
      <c r="I181"/>
      <c r="J181"/>
    </row>
    <row r="182" spans="1:10">
      <c r="A182"/>
      <c r="B182"/>
      <c r="C182"/>
      <c r="D182"/>
      <c r="E182"/>
      <c r="F182"/>
      <c r="G182"/>
      <c r="H182"/>
      <c r="I182"/>
      <c r="J182"/>
    </row>
    <row r="183" spans="1:10">
      <c r="A183"/>
      <c r="B183"/>
      <c r="C183"/>
      <c r="D183"/>
      <c r="E183"/>
      <c r="F183"/>
      <c r="G183"/>
      <c r="H183"/>
      <c r="I183"/>
      <c r="J183"/>
    </row>
    <row r="184" spans="1:10">
      <c r="A184"/>
      <c r="B184"/>
      <c r="C184"/>
      <c r="D184"/>
      <c r="E184"/>
      <c r="F184"/>
      <c r="G184"/>
      <c r="H184"/>
      <c r="I184"/>
      <c r="J184"/>
    </row>
    <row r="185" spans="1:10">
      <c r="A185"/>
      <c r="B185"/>
      <c r="C185"/>
      <c r="D185"/>
      <c r="E185"/>
      <c r="F185"/>
      <c r="G185"/>
      <c r="H185"/>
      <c r="I185"/>
      <c r="J185"/>
    </row>
    <row r="186" spans="1:10">
      <c r="A186"/>
      <c r="B186"/>
      <c r="C186"/>
      <c r="D186"/>
      <c r="E186"/>
      <c r="F186"/>
      <c r="G186"/>
      <c r="H186"/>
      <c r="I186"/>
      <c r="J186"/>
    </row>
    <row r="187" spans="1:10">
      <c r="A187"/>
      <c r="B187"/>
      <c r="C187"/>
      <c r="D187"/>
      <c r="E187"/>
      <c r="F187"/>
      <c r="G187"/>
      <c r="H187"/>
      <c r="I187"/>
      <c r="J187"/>
    </row>
    <row r="188" spans="1:10">
      <c r="A188"/>
      <c r="B188"/>
      <c r="C188"/>
      <c r="D188"/>
      <c r="E188"/>
      <c r="F188"/>
      <c r="G188"/>
      <c r="H188"/>
      <c r="I188"/>
      <c r="J188"/>
    </row>
    <row r="189" spans="1:10">
      <c r="A189"/>
      <c r="B189"/>
      <c r="C189"/>
      <c r="D189"/>
      <c r="E189"/>
      <c r="F189"/>
      <c r="G189"/>
      <c r="H189"/>
      <c r="I189"/>
      <c r="J189"/>
    </row>
    <row r="190" spans="1:10">
      <c r="A190"/>
      <c r="B190"/>
      <c r="C190"/>
      <c r="D190"/>
      <c r="E190"/>
      <c r="F190"/>
      <c r="G190"/>
      <c r="H190"/>
      <c r="I190"/>
      <c r="J190"/>
    </row>
    <row r="191" spans="1:10">
      <c r="A191"/>
      <c r="B191"/>
      <c r="C191"/>
      <c r="D191"/>
      <c r="E191"/>
      <c r="F191"/>
      <c r="G191"/>
      <c r="H191"/>
      <c r="I191"/>
      <c r="J191"/>
    </row>
    <row r="192" spans="1:10">
      <c r="A192"/>
      <c r="B192"/>
      <c r="C192"/>
      <c r="D192"/>
      <c r="E192"/>
      <c r="F192"/>
      <c r="G192"/>
      <c r="H192"/>
      <c r="I192"/>
      <c r="J192"/>
    </row>
    <row r="193" spans="1:10">
      <c r="A193"/>
      <c r="B193"/>
      <c r="C193"/>
      <c r="D193"/>
      <c r="E193"/>
      <c r="F193"/>
      <c r="G193"/>
      <c r="H193"/>
      <c r="I193"/>
      <c r="J193"/>
    </row>
    <row r="194" spans="1:10">
      <c r="A194"/>
      <c r="B194"/>
      <c r="C194"/>
      <c r="D194"/>
      <c r="E194"/>
      <c r="F194"/>
      <c r="G194"/>
      <c r="H194"/>
      <c r="I194"/>
      <c r="J194"/>
    </row>
    <row r="195" spans="1:10">
      <c r="A195"/>
      <c r="B195"/>
      <c r="C195"/>
      <c r="D195"/>
      <c r="E195"/>
      <c r="F195"/>
      <c r="G195"/>
      <c r="H195"/>
      <c r="I195"/>
      <c r="J195"/>
    </row>
    <row r="196" spans="1:10">
      <c r="A196"/>
      <c r="B196"/>
      <c r="C196"/>
      <c r="D196"/>
      <c r="E196"/>
      <c r="F196"/>
      <c r="G196"/>
      <c r="H196"/>
      <c r="I196"/>
      <c r="J196"/>
    </row>
    <row r="197" spans="1:10">
      <c r="A197"/>
      <c r="B197"/>
      <c r="C197"/>
      <c r="D197"/>
      <c r="E197"/>
      <c r="F197"/>
      <c r="G197"/>
      <c r="H197"/>
      <c r="I197"/>
      <c r="J197"/>
    </row>
    <row r="198" spans="1:10">
      <c r="A198"/>
      <c r="B198"/>
      <c r="C198"/>
      <c r="D198"/>
      <c r="E198"/>
      <c r="F198"/>
      <c r="G198"/>
      <c r="H198"/>
      <c r="I198"/>
      <c r="J198"/>
    </row>
    <row r="199" spans="1:10">
      <c r="A199"/>
      <c r="B199"/>
      <c r="C199"/>
      <c r="D199"/>
      <c r="E199"/>
      <c r="F199"/>
      <c r="G199"/>
      <c r="H199"/>
      <c r="I199"/>
      <c r="J199"/>
    </row>
    <row r="200" spans="1:10">
      <c r="A200"/>
      <c r="B200"/>
      <c r="C200"/>
      <c r="D200"/>
      <c r="E200"/>
      <c r="F200"/>
      <c r="G200"/>
      <c r="H200"/>
      <c r="I200"/>
      <c r="J200"/>
    </row>
    <row r="201" spans="1:10">
      <c r="A201"/>
      <c r="B201"/>
      <c r="C201"/>
      <c r="D201"/>
      <c r="E201"/>
      <c r="F201"/>
      <c r="G201"/>
      <c r="H201"/>
      <c r="I201"/>
      <c r="J201"/>
    </row>
    <row r="202" spans="1:10">
      <c r="A202"/>
      <c r="B202"/>
      <c r="C202"/>
      <c r="D202"/>
      <c r="E202"/>
      <c r="F202"/>
      <c r="G202"/>
      <c r="H202"/>
      <c r="I202"/>
      <c r="J202"/>
    </row>
    <row r="203" spans="1:10">
      <c r="A203"/>
      <c r="B203"/>
      <c r="C203"/>
      <c r="D203"/>
      <c r="E203"/>
      <c r="F203"/>
      <c r="G203"/>
      <c r="H203"/>
      <c r="I203"/>
      <c r="J203"/>
    </row>
    <row r="204" spans="1:10">
      <c r="A204"/>
      <c r="B204"/>
      <c r="C204"/>
      <c r="D204"/>
      <c r="E204"/>
      <c r="F204"/>
      <c r="G204"/>
      <c r="H204"/>
      <c r="I204"/>
      <c r="J204"/>
    </row>
    <row r="205" spans="1:10">
      <c r="A205"/>
      <c r="B205"/>
      <c r="C205"/>
      <c r="D205"/>
      <c r="E205"/>
      <c r="F205"/>
      <c r="G205"/>
      <c r="H205"/>
      <c r="I205"/>
      <c r="J205"/>
    </row>
    <row r="206" spans="1:10">
      <c r="A206"/>
      <c r="B206"/>
      <c r="C206"/>
      <c r="D206"/>
      <c r="E206"/>
      <c r="F206"/>
      <c r="G206"/>
      <c r="H206"/>
      <c r="I206"/>
      <c r="J206"/>
    </row>
    <row r="207" spans="1:10">
      <c r="A207"/>
      <c r="B207"/>
      <c r="C207"/>
      <c r="D207"/>
      <c r="E207"/>
      <c r="F207"/>
      <c r="G207"/>
      <c r="H207"/>
      <c r="I207"/>
      <c r="J207"/>
    </row>
    <row r="208" spans="1:10">
      <c r="A208"/>
      <c r="B208"/>
      <c r="C208"/>
      <c r="D208"/>
      <c r="E208"/>
      <c r="F208"/>
      <c r="G208"/>
      <c r="H208"/>
      <c r="I208"/>
      <c r="J208"/>
    </row>
    <row r="209" spans="1:10">
      <c r="A209"/>
      <c r="B209"/>
      <c r="C209"/>
      <c r="D209"/>
      <c r="E209"/>
      <c r="F209"/>
      <c r="G209"/>
      <c r="H209"/>
      <c r="I209"/>
      <c r="J209"/>
    </row>
    <row r="210" spans="1:10">
      <c r="A210"/>
      <c r="B210"/>
      <c r="C210"/>
      <c r="D210"/>
      <c r="E210"/>
      <c r="F210"/>
      <c r="G210"/>
      <c r="H210"/>
      <c r="I210"/>
      <c r="J210"/>
    </row>
    <row r="211" spans="1:10">
      <c r="A211"/>
      <c r="B211"/>
      <c r="C211"/>
      <c r="D211"/>
      <c r="E211"/>
      <c r="F211"/>
      <c r="G211"/>
      <c r="H211"/>
      <c r="I211"/>
      <c r="J211"/>
    </row>
    <row r="212" spans="1:10">
      <c r="A212"/>
      <c r="B212"/>
      <c r="C212"/>
      <c r="D212"/>
      <c r="E212"/>
      <c r="F212"/>
      <c r="G212"/>
      <c r="H212"/>
      <c r="I212"/>
      <c r="J212"/>
    </row>
    <row r="213" spans="1:10">
      <c r="A213"/>
      <c r="B213"/>
      <c r="C213"/>
      <c r="D213"/>
      <c r="E213"/>
      <c r="F213"/>
      <c r="G213"/>
      <c r="H213"/>
      <c r="I213"/>
      <c r="J213"/>
    </row>
    <row r="214" spans="1:10">
      <c r="A214"/>
      <c r="B214"/>
      <c r="C214"/>
      <c r="D214"/>
      <c r="E214"/>
      <c r="F214"/>
      <c r="G214"/>
      <c r="H214"/>
      <c r="I214"/>
      <c r="J214"/>
    </row>
    <row r="215" spans="1:10">
      <c r="A215"/>
      <c r="B215"/>
      <c r="C215"/>
      <c r="D215"/>
      <c r="E215"/>
      <c r="F215"/>
      <c r="G215"/>
      <c r="H215"/>
      <c r="I215"/>
      <c r="J215"/>
    </row>
    <row r="216" spans="1:10">
      <c r="A216"/>
      <c r="B216"/>
      <c r="C216"/>
      <c r="D216"/>
      <c r="E216"/>
      <c r="F216"/>
      <c r="G216"/>
      <c r="H216"/>
      <c r="I216"/>
      <c r="J216"/>
    </row>
    <row r="217" spans="1:10">
      <c r="A217"/>
      <c r="B217"/>
      <c r="C217"/>
      <c r="D217"/>
      <c r="E217"/>
      <c r="F217"/>
      <c r="G217"/>
      <c r="H217"/>
      <c r="I217"/>
      <c r="J217"/>
    </row>
    <row r="218" spans="1:10">
      <c r="A218"/>
      <c r="B218"/>
      <c r="C218"/>
      <c r="D218"/>
      <c r="E218"/>
      <c r="F218"/>
      <c r="G218"/>
      <c r="H218"/>
      <c r="I218"/>
      <c r="J218"/>
    </row>
    <row r="219" spans="1:10">
      <c r="A219"/>
      <c r="B219"/>
      <c r="C219"/>
      <c r="D219"/>
      <c r="E219"/>
      <c r="F219"/>
      <c r="G219"/>
      <c r="H219"/>
      <c r="I219"/>
      <c r="J219"/>
    </row>
    <row r="220" spans="1:10">
      <c r="A220"/>
      <c r="B220"/>
      <c r="C220"/>
      <c r="D220"/>
      <c r="E220"/>
      <c r="F220"/>
      <c r="G220"/>
      <c r="H220"/>
      <c r="I220"/>
      <c r="J220"/>
    </row>
    <row r="221" spans="1:10">
      <c r="A221"/>
      <c r="B221"/>
      <c r="C221"/>
      <c r="D221"/>
      <c r="E221"/>
      <c r="F221"/>
      <c r="G221"/>
      <c r="H221"/>
      <c r="I221"/>
      <c r="J221"/>
    </row>
    <row r="222" spans="1:10">
      <c r="A222"/>
      <c r="B222"/>
      <c r="C222"/>
      <c r="D222"/>
      <c r="E222"/>
      <c r="F222"/>
      <c r="G222"/>
      <c r="H222"/>
      <c r="I222"/>
      <c r="J222"/>
    </row>
    <row r="223" spans="1:10">
      <c r="A223"/>
      <c r="B223"/>
      <c r="C223"/>
      <c r="D223"/>
      <c r="E223"/>
      <c r="F223"/>
      <c r="G223"/>
      <c r="H223"/>
      <c r="I223"/>
      <c r="J223"/>
    </row>
    <row r="224" spans="1:10">
      <c r="A224"/>
      <c r="B224"/>
      <c r="C224"/>
      <c r="D224"/>
      <c r="E224"/>
      <c r="F224"/>
      <c r="G224"/>
      <c r="H224"/>
      <c r="I224"/>
      <c r="J224"/>
    </row>
    <row r="225" spans="1:10">
      <c r="A225"/>
      <c r="B225"/>
      <c r="C225"/>
      <c r="D225"/>
      <c r="E225"/>
      <c r="F225"/>
      <c r="G225"/>
      <c r="H225"/>
      <c r="I225"/>
      <c r="J225"/>
    </row>
    <row r="226" spans="1:10">
      <c r="A226"/>
      <c r="B226"/>
      <c r="C226"/>
      <c r="D226"/>
      <c r="E226"/>
      <c r="F226"/>
      <c r="G226"/>
      <c r="H226"/>
      <c r="I226"/>
      <c r="J226"/>
    </row>
    <row r="227" spans="1:10">
      <c r="A227"/>
      <c r="B227"/>
      <c r="C227"/>
      <c r="D227"/>
      <c r="E227"/>
      <c r="F227"/>
      <c r="G227"/>
      <c r="H227"/>
      <c r="I227"/>
      <c r="J227"/>
    </row>
    <row r="228" spans="1:10">
      <c r="A228"/>
      <c r="B228"/>
      <c r="C228"/>
      <c r="D228"/>
      <c r="E228"/>
      <c r="F228"/>
      <c r="G228"/>
      <c r="H228"/>
      <c r="I228"/>
      <c r="J228"/>
    </row>
    <row r="229" spans="1:10">
      <c r="A229"/>
      <c r="B229"/>
      <c r="C229"/>
      <c r="D229"/>
      <c r="E229"/>
      <c r="F229"/>
      <c r="G229"/>
      <c r="H229"/>
      <c r="I229"/>
      <c r="J229"/>
    </row>
    <row r="230" spans="1:10">
      <c r="A230"/>
      <c r="B230"/>
      <c r="C230"/>
      <c r="D230"/>
      <c r="E230"/>
      <c r="F230"/>
      <c r="G230"/>
      <c r="H230"/>
      <c r="I230"/>
      <c r="J230"/>
    </row>
    <row r="231" spans="1:10">
      <c r="A231"/>
      <c r="B231"/>
      <c r="C231"/>
      <c r="D231"/>
      <c r="E231"/>
      <c r="F231"/>
      <c r="G231"/>
      <c r="H231"/>
      <c r="I231"/>
      <c r="J231"/>
    </row>
    <row r="232" spans="1:10">
      <c r="A232"/>
      <c r="B232"/>
      <c r="C232"/>
      <c r="D232"/>
      <c r="E232"/>
      <c r="F232"/>
      <c r="G232"/>
      <c r="H232"/>
      <c r="I232"/>
      <c r="J232"/>
    </row>
    <row r="233" spans="1:10">
      <c r="A233"/>
      <c r="B233"/>
      <c r="C233"/>
      <c r="D233"/>
      <c r="E233"/>
      <c r="F233"/>
      <c r="G233"/>
      <c r="H233"/>
      <c r="I233"/>
      <c r="J233"/>
    </row>
    <row r="234" spans="1:10">
      <c r="A234"/>
      <c r="B234"/>
      <c r="C234"/>
      <c r="D234"/>
      <c r="E234"/>
      <c r="F234"/>
      <c r="G234"/>
      <c r="H234"/>
      <c r="I234"/>
      <c r="J234"/>
    </row>
    <row r="235" spans="1:10">
      <c r="A235"/>
      <c r="B235"/>
      <c r="C235"/>
      <c r="D235"/>
      <c r="E235"/>
      <c r="F235"/>
      <c r="G235"/>
      <c r="H235"/>
      <c r="I235"/>
      <c r="J235"/>
    </row>
    <row r="236" spans="1:10">
      <c r="A236"/>
      <c r="B236"/>
      <c r="C236"/>
      <c r="D236"/>
      <c r="E236"/>
      <c r="F236"/>
      <c r="G236"/>
      <c r="H236"/>
      <c r="I236"/>
      <c r="J236"/>
    </row>
    <row r="237" spans="1:10">
      <c r="A237"/>
      <c r="B237"/>
      <c r="C237"/>
      <c r="D237"/>
      <c r="E237"/>
      <c r="F237"/>
      <c r="G237"/>
      <c r="H237"/>
      <c r="I237"/>
      <c r="J237"/>
    </row>
    <row r="238" spans="1:10">
      <c r="A238"/>
      <c r="B238"/>
      <c r="C238"/>
      <c r="D238"/>
      <c r="E238"/>
      <c r="F238"/>
      <c r="G238"/>
      <c r="H238"/>
      <c r="I238"/>
      <c r="J238"/>
    </row>
    <row r="239" spans="1:10">
      <c r="A239"/>
      <c r="B239"/>
      <c r="C239"/>
      <c r="D239"/>
      <c r="E239"/>
      <c r="F239"/>
      <c r="G239"/>
      <c r="H239"/>
      <c r="I239"/>
      <c r="J239"/>
    </row>
  </sheetData>
  <sheetProtection password="F811" sheet="1" objects="1" scenarios="1" selectLockedCells="1" selectUnlockedCells="1"/>
  <mergeCells count="12">
    <mergeCell ref="B19:I19"/>
    <mergeCell ref="B8:G8"/>
    <mergeCell ref="B18:I18"/>
    <mergeCell ref="B10:I10"/>
    <mergeCell ref="B9:I9"/>
    <mergeCell ref="B11:I11"/>
    <mergeCell ref="B12:I12"/>
    <mergeCell ref="B13:I13"/>
    <mergeCell ref="B14:I14"/>
    <mergeCell ref="B15:I15"/>
    <mergeCell ref="B16:I16"/>
    <mergeCell ref="B17:I17"/>
  </mergeCells>
  <phoneticPr fontId="8" type="noConversion"/>
  <hyperlinks>
    <hyperlink ref="B19" r:id="rId1" xr:uid="{00000000-0004-0000-0000-000000000000}"/>
    <hyperlink ref="C19" r:id="rId2" display="http://simplyretirement.com.au/contact-simplyretirement" xr:uid="{00000000-0004-0000-0000-000001000000}"/>
    <hyperlink ref="D19" r:id="rId3" display="http://simplyretirement.com.au/contact-simplyretirement" xr:uid="{00000000-0004-0000-0000-000002000000}"/>
    <hyperlink ref="E19" r:id="rId4" display="http://simplyretirement.com.au/contact-simplyretirement" xr:uid="{00000000-0004-0000-0000-000003000000}"/>
    <hyperlink ref="F19" r:id="rId5" display="http://simplyretirement.com.au/contact-simplyretirement" xr:uid="{00000000-0004-0000-0000-000004000000}"/>
    <hyperlink ref="G19" r:id="rId6" display="http://simplyretirement.com.au/contact-simplyretirement" xr:uid="{00000000-0004-0000-0000-000005000000}"/>
    <hyperlink ref="H19" r:id="rId7" display="http://simplyretirement.com.au/contact-simplyretirement" xr:uid="{00000000-0004-0000-0000-000006000000}"/>
    <hyperlink ref="I19" r:id="rId8" display="http://simplyretirement.com.au/contact-simplyretirement" xr:uid="{00000000-0004-0000-0000-000007000000}"/>
  </hyperlinks>
  <pageMargins left="0.75000000000000011" right="0.75000000000000011" top="1" bottom="1" header="0.5" footer="0.5"/>
  <pageSetup paperSize="9" scale="47" orientation="portrait" horizontalDpi="4294967292" verticalDpi="4294967292"/>
  <drawing r:id="rId9"/>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244"/>
  <sheetViews>
    <sheetView showGridLines="0" showRowColHeaders="0" tabSelected="1" zoomScaleNormal="100" workbookViewId="0">
      <selection activeCell="E11" sqref="E11"/>
    </sheetView>
  </sheetViews>
  <sheetFormatPr defaultColWidth="10.69921875" defaultRowHeight="15"/>
  <cols>
    <col min="1" max="1" width="5.19921875" style="31" customWidth="1"/>
    <col min="2" max="2" width="26.5" style="31" customWidth="1"/>
    <col min="3" max="3" width="54.69921875" style="31" customWidth="1"/>
    <col min="4" max="4" width="1.5" style="31" customWidth="1"/>
    <col min="5" max="5" width="22.19921875" style="31" customWidth="1"/>
    <col min="6" max="6" width="1.69921875" style="31" customWidth="1"/>
    <col min="7" max="7" width="20.69921875" style="31" customWidth="1"/>
    <col min="8" max="8" width="1.69921875" style="31" customWidth="1"/>
    <col min="9" max="9" width="19.19921875" style="31" customWidth="1"/>
    <col min="10" max="10" width="3.69921875" style="31" customWidth="1"/>
    <col min="11" max="12" width="2.19921875" style="31" customWidth="1"/>
    <col min="13" max="13" width="4" style="58" customWidth="1"/>
    <col min="14" max="16384" width="10.69921875" style="31"/>
  </cols>
  <sheetData>
    <row r="1" spans="1:15">
      <c r="A1" s="58"/>
      <c r="B1" s="58"/>
      <c r="C1" s="58"/>
      <c r="D1" s="58"/>
      <c r="E1" s="58"/>
      <c r="F1" s="58"/>
      <c r="G1" s="58"/>
      <c r="H1" s="58"/>
      <c r="I1" s="58"/>
      <c r="J1" s="58"/>
      <c r="K1" s="58"/>
      <c r="L1" s="58"/>
      <c r="N1" s="58"/>
      <c r="O1" s="58"/>
    </row>
    <row r="2" spans="1:15">
      <c r="A2" s="58"/>
      <c r="B2" s="58"/>
      <c r="C2" s="58"/>
      <c r="D2" s="58"/>
      <c r="E2" s="58"/>
      <c r="F2" s="58"/>
      <c r="G2" s="58"/>
      <c r="H2" s="58"/>
      <c r="I2" s="58"/>
      <c r="J2" s="58"/>
      <c r="K2" s="58"/>
      <c r="L2" s="58"/>
      <c r="N2" s="58"/>
      <c r="O2" s="58"/>
    </row>
    <row r="3" spans="1:15" ht="28.95" customHeight="1">
      <c r="A3" s="58"/>
      <c r="B3" s="58"/>
      <c r="C3" s="58"/>
      <c r="D3" s="58"/>
      <c r="E3" s="58"/>
      <c r="F3" s="58"/>
      <c r="G3" s="58"/>
      <c r="H3" s="58"/>
      <c r="J3" s="58"/>
      <c r="K3" s="58"/>
      <c r="L3" s="58"/>
      <c r="N3" s="58"/>
      <c r="O3" s="58"/>
    </row>
    <row r="4" spans="1:15" ht="28.2" customHeight="1">
      <c r="A4" s="58"/>
      <c r="B4" s="58"/>
      <c r="C4" s="58"/>
      <c r="D4" s="58"/>
      <c r="E4" s="58"/>
      <c r="F4" s="58"/>
      <c r="G4" s="58"/>
      <c r="H4" s="58"/>
      <c r="I4" s="62" t="s">
        <v>118</v>
      </c>
      <c r="J4" s="58"/>
      <c r="K4" s="58"/>
      <c r="L4" s="58"/>
      <c r="N4" s="58"/>
      <c r="O4" s="58"/>
    </row>
    <row r="5" spans="1:15" ht="15" customHeight="1">
      <c r="A5" s="58"/>
      <c r="B5" s="58"/>
      <c r="C5" s="58" t="s">
        <v>93</v>
      </c>
      <c r="D5" s="58"/>
      <c r="E5" s="58"/>
      <c r="F5" s="58"/>
      <c r="G5" s="61"/>
      <c r="H5" s="61"/>
      <c r="I5" s="59" t="str">
        <f>"Current as at: "&amp;data!D2</f>
        <v>Current as at: 20 Sept 2025</v>
      </c>
      <c r="J5" s="58"/>
      <c r="K5" s="58"/>
      <c r="L5" s="58"/>
      <c r="N5" s="58"/>
      <c r="O5" s="58"/>
    </row>
    <row r="6" spans="1:15" ht="15" customHeight="1">
      <c r="A6" s="58"/>
      <c r="B6" s="58"/>
      <c r="C6" s="58"/>
      <c r="D6" s="58"/>
      <c r="E6" s="58"/>
      <c r="F6" s="58"/>
      <c r="G6" s="61"/>
      <c r="H6" s="61"/>
      <c r="I6" s="58"/>
      <c r="J6" s="58"/>
      <c r="K6" s="58"/>
      <c r="L6" s="58"/>
      <c r="N6" s="58"/>
      <c r="O6" s="58"/>
    </row>
    <row r="7" spans="1:15" ht="42" customHeight="1">
      <c r="A7" s="58"/>
      <c r="B7" s="70" t="s">
        <v>191</v>
      </c>
      <c r="C7" s="58"/>
      <c r="D7" s="58"/>
      <c r="E7" s="58"/>
      <c r="F7" s="58"/>
      <c r="G7" s="144" t="s">
        <v>192</v>
      </c>
      <c r="H7" s="145"/>
      <c r="I7" s="144">
        <f ca="1">TODAY()</f>
        <v>45902</v>
      </c>
      <c r="J7" s="58"/>
      <c r="K7" s="58"/>
      <c r="L7" s="58"/>
      <c r="N7" s="58"/>
      <c r="O7" s="58"/>
    </row>
    <row r="8" spans="1:15" ht="15" customHeight="1">
      <c r="A8" s="56"/>
      <c r="B8" s="56"/>
      <c r="C8" s="56"/>
      <c r="D8" s="56"/>
      <c r="E8" s="56"/>
      <c r="F8" s="56"/>
      <c r="G8" s="57"/>
      <c r="H8" s="57"/>
      <c r="I8" s="56"/>
      <c r="J8" s="56"/>
      <c r="K8" s="56"/>
      <c r="L8" s="56"/>
      <c r="N8" s="58"/>
      <c r="O8" s="58"/>
    </row>
    <row r="9" spans="1:15" ht="28.2" customHeight="1">
      <c r="A9" s="56"/>
      <c r="B9" s="60" t="s">
        <v>115</v>
      </c>
      <c r="C9" s="55" t="s">
        <v>116</v>
      </c>
      <c r="D9" s="65"/>
      <c r="E9" s="56"/>
      <c r="F9" s="56"/>
      <c r="G9" s="56"/>
      <c r="H9" s="56"/>
      <c r="I9" s="56"/>
      <c r="J9" s="56"/>
      <c r="K9" s="143"/>
      <c r="L9" s="56"/>
      <c r="N9" s="58"/>
      <c r="O9" s="58"/>
    </row>
    <row r="10" spans="1:15" ht="28.2" customHeight="1">
      <c r="A10" s="56"/>
      <c r="B10" s="56"/>
      <c r="C10" s="55" t="s">
        <v>117</v>
      </c>
      <c r="D10" s="65"/>
      <c r="E10" s="56"/>
      <c r="F10" s="56"/>
      <c r="G10" s="56"/>
      <c r="H10" s="56"/>
      <c r="I10" s="56"/>
      <c r="J10" s="56"/>
      <c r="K10" s="143"/>
      <c r="L10" s="56"/>
      <c r="N10" s="58"/>
      <c r="O10" s="58"/>
    </row>
    <row r="11" spans="1:15" ht="28.2" customHeight="1">
      <c r="A11" s="56"/>
      <c r="B11" s="56"/>
      <c r="C11" s="55" t="s">
        <v>114</v>
      </c>
      <c r="D11" s="65"/>
      <c r="E11" s="139"/>
      <c r="F11" s="57"/>
      <c r="G11" s="56"/>
      <c r="H11" s="56"/>
      <c r="I11" s="56"/>
      <c r="J11" s="56"/>
      <c r="K11" s="56"/>
      <c r="L11" s="56"/>
      <c r="N11" s="58"/>
      <c r="O11" s="58"/>
    </row>
    <row r="12" spans="1:15" ht="9" customHeight="1">
      <c r="A12" s="56"/>
      <c r="B12" s="56"/>
      <c r="C12" s="55"/>
      <c r="D12" s="65"/>
      <c r="E12" s="57"/>
      <c r="F12" s="57"/>
      <c r="G12" s="56"/>
      <c r="H12" s="56"/>
      <c r="I12" s="56"/>
      <c r="J12" s="56"/>
      <c r="K12" s="56"/>
      <c r="L12" s="56"/>
      <c r="N12" s="58"/>
      <c r="O12" s="58"/>
    </row>
    <row r="13" spans="1:15" ht="28.2" customHeight="1">
      <c r="A13" s="56"/>
      <c r="B13" s="56"/>
      <c r="C13" s="55" t="str">
        <f>IF(OR(E102=2,E102=3),"Your partner's date of birth (dd/mm/yyyy):"," ")</f>
        <v>Your partner's date of birth (dd/mm/yyyy):</v>
      </c>
      <c r="D13" s="65"/>
      <c r="E13" s="139"/>
      <c r="F13" s="57"/>
      <c r="G13" s="56"/>
      <c r="H13" s="56"/>
      <c r="I13" s="56"/>
      <c r="J13" s="56"/>
      <c r="K13" s="56"/>
      <c r="L13" s="56"/>
      <c r="N13" s="58"/>
      <c r="O13" s="58"/>
    </row>
    <row r="14" spans="1:15" ht="22.2" customHeight="1">
      <c r="A14" s="56"/>
      <c r="B14" s="56"/>
      <c r="C14" s="56"/>
      <c r="D14" s="56"/>
      <c r="E14" s="56"/>
      <c r="F14" s="56"/>
      <c r="G14" s="56"/>
      <c r="H14" s="56"/>
      <c r="I14" s="56"/>
      <c r="J14" s="56"/>
      <c r="K14" s="56"/>
      <c r="L14" s="56"/>
      <c r="N14" s="58"/>
      <c r="O14" s="58"/>
    </row>
    <row r="15" spans="1:15" ht="31.95" customHeight="1">
      <c r="A15" s="56"/>
      <c r="B15" s="56"/>
      <c r="C15" s="56"/>
      <c r="D15" s="56"/>
      <c r="E15" s="92" t="s">
        <v>167</v>
      </c>
      <c r="F15" s="65"/>
      <c r="G15" s="133"/>
      <c r="H15" s="133"/>
      <c r="I15" s="133"/>
      <c r="J15" s="56"/>
      <c r="K15" s="56"/>
      <c r="L15" s="56"/>
      <c r="N15" s="58"/>
      <c r="O15" s="58"/>
    </row>
    <row r="16" spans="1:15" ht="28.2" customHeight="1">
      <c r="A16" s="56"/>
      <c r="B16" s="60" t="s">
        <v>119</v>
      </c>
      <c r="C16" s="55" t="s">
        <v>120</v>
      </c>
      <c r="D16" s="56"/>
      <c r="E16" s="140">
        <v>0</v>
      </c>
      <c r="F16" s="56"/>
      <c r="G16" s="133"/>
      <c r="H16" s="133"/>
      <c r="I16" s="133"/>
      <c r="J16" s="56"/>
      <c r="K16" s="56"/>
      <c r="L16" s="56"/>
      <c r="N16" s="58"/>
      <c r="O16" s="58"/>
    </row>
    <row r="17" spans="1:15" ht="28.2" customHeight="1">
      <c r="A17" s="56"/>
      <c r="B17" s="60" t="s">
        <v>178</v>
      </c>
      <c r="C17" s="55" t="s">
        <v>121</v>
      </c>
      <c r="D17" s="56"/>
      <c r="E17" s="140">
        <v>0</v>
      </c>
      <c r="F17" s="56"/>
      <c r="G17" s="133"/>
      <c r="H17" s="133"/>
      <c r="I17" s="133"/>
      <c r="J17" s="56"/>
      <c r="K17" s="56"/>
      <c r="L17" s="56"/>
      <c r="N17" s="58"/>
      <c r="O17" s="58"/>
    </row>
    <row r="18" spans="1:15" ht="28.2" customHeight="1">
      <c r="A18" s="56"/>
      <c r="B18" s="56"/>
      <c r="C18" s="55" t="s">
        <v>122</v>
      </c>
      <c r="D18" s="56"/>
      <c r="E18" s="140">
        <v>0</v>
      </c>
      <c r="F18" s="56"/>
      <c r="G18" s="133"/>
      <c r="H18" s="133"/>
      <c r="I18" s="133"/>
      <c r="J18" s="56"/>
      <c r="K18" s="56"/>
      <c r="L18" s="56"/>
      <c r="N18" s="58"/>
      <c r="O18" s="58"/>
    </row>
    <row r="19" spans="1:15" ht="28.2" customHeight="1">
      <c r="A19" s="56"/>
      <c r="B19" s="56"/>
      <c r="C19" s="55" t="s">
        <v>130</v>
      </c>
      <c r="D19" s="56"/>
      <c r="E19" s="140">
        <v>0</v>
      </c>
      <c r="F19" s="56"/>
      <c r="G19" s="133"/>
      <c r="H19" s="133"/>
      <c r="I19" s="136"/>
      <c r="J19" s="56"/>
      <c r="K19" s="56"/>
      <c r="L19" s="56"/>
      <c r="N19" s="58"/>
      <c r="O19" s="58"/>
    </row>
    <row r="20" spans="1:15" ht="28.2" customHeight="1">
      <c r="A20" s="56"/>
      <c r="B20" s="56"/>
      <c r="C20" s="55" t="s">
        <v>123</v>
      </c>
      <c r="D20" s="56"/>
      <c r="E20" s="140">
        <v>0</v>
      </c>
      <c r="F20" s="66"/>
      <c r="G20" s="133"/>
      <c r="H20" s="133"/>
      <c r="I20" s="133"/>
      <c r="J20" s="56"/>
      <c r="K20" s="56"/>
      <c r="L20" s="56"/>
      <c r="N20" s="58"/>
      <c r="O20" s="58"/>
    </row>
    <row r="21" spans="1:15" ht="28.2" customHeight="1" thickBot="1">
      <c r="A21" s="56"/>
      <c r="B21" s="56"/>
      <c r="C21" s="55" t="s">
        <v>170</v>
      </c>
      <c r="D21" s="134"/>
      <c r="E21" s="135">
        <f>SUM(E16:E20)</f>
        <v>0</v>
      </c>
      <c r="F21" s="67"/>
      <c r="G21" s="133"/>
      <c r="H21" s="133"/>
      <c r="I21" s="133"/>
      <c r="J21" s="56"/>
      <c r="K21" s="56"/>
      <c r="L21" s="56"/>
      <c r="N21" s="58"/>
      <c r="O21" s="58"/>
    </row>
    <row r="22" spans="1:15" ht="12" customHeight="1" thickTop="1">
      <c r="A22" s="56"/>
      <c r="B22" s="56"/>
      <c r="C22" s="56"/>
      <c r="D22" s="56"/>
      <c r="E22" s="56"/>
      <c r="F22" s="56"/>
      <c r="G22" s="56"/>
      <c r="H22" s="56"/>
      <c r="I22" s="56"/>
      <c r="J22" s="56"/>
      <c r="K22" s="56"/>
      <c r="L22" s="56"/>
      <c r="N22" s="58"/>
      <c r="O22" s="58"/>
    </row>
    <row r="23" spans="1:15" ht="28.2" customHeight="1">
      <c r="A23" s="56"/>
      <c r="B23" s="60" t="s">
        <v>124</v>
      </c>
      <c r="C23" s="55" t="s">
        <v>171</v>
      </c>
      <c r="D23" s="56"/>
      <c r="E23" s="140">
        <v>0</v>
      </c>
      <c r="F23" s="66"/>
      <c r="G23" s="68"/>
      <c r="H23" s="66"/>
      <c r="I23" s="68"/>
      <c r="J23" s="56"/>
      <c r="K23" s="56"/>
      <c r="L23" s="56"/>
      <c r="N23" s="58"/>
      <c r="O23" s="58"/>
    </row>
    <row r="24" spans="1:15" ht="28.2" customHeight="1">
      <c r="A24" s="56"/>
      <c r="B24" s="60" t="s">
        <v>125</v>
      </c>
      <c r="C24" s="55" t="s">
        <v>9</v>
      </c>
      <c r="D24" s="56"/>
      <c r="E24" s="140">
        <v>0</v>
      </c>
      <c r="F24" s="66"/>
      <c r="G24" s="68"/>
      <c r="H24" s="66"/>
      <c r="I24" s="68"/>
      <c r="J24" s="56"/>
      <c r="K24" s="56"/>
      <c r="L24" s="56"/>
      <c r="N24" s="58"/>
      <c r="O24" s="58"/>
    </row>
    <row r="25" spans="1:15" ht="28.2" customHeight="1">
      <c r="A25" s="56"/>
      <c r="B25" s="56"/>
      <c r="C25" s="55" t="s">
        <v>172</v>
      </c>
      <c r="D25" s="56"/>
      <c r="E25" s="140">
        <v>0</v>
      </c>
      <c r="F25" s="66"/>
      <c r="G25" s="68"/>
      <c r="H25" s="66"/>
      <c r="I25" s="68"/>
      <c r="J25" s="56"/>
      <c r="K25" s="56"/>
      <c r="L25" s="56"/>
      <c r="N25" s="58"/>
      <c r="O25" s="58"/>
    </row>
    <row r="26" spans="1:15" ht="28.2" customHeight="1">
      <c r="A26" s="56"/>
      <c r="B26" s="56"/>
      <c r="C26" s="55" t="s">
        <v>173</v>
      </c>
      <c r="D26" s="56"/>
      <c r="E26" s="140">
        <v>0</v>
      </c>
      <c r="F26" s="66"/>
      <c r="G26" s="68"/>
      <c r="H26" s="66"/>
      <c r="I26" s="68"/>
      <c r="J26" s="56"/>
      <c r="K26" s="56"/>
      <c r="L26" s="56"/>
      <c r="N26" s="58"/>
      <c r="O26" s="58"/>
    </row>
    <row r="27" spans="1:15" ht="7.2" customHeight="1">
      <c r="A27" s="56"/>
      <c r="B27" s="56"/>
      <c r="C27" s="55"/>
      <c r="D27" s="56"/>
      <c r="E27" s="66"/>
      <c r="F27" s="66"/>
      <c r="G27" s="68"/>
      <c r="H27" s="66"/>
      <c r="I27" s="68"/>
      <c r="J27" s="56"/>
      <c r="K27" s="56"/>
      <c r="L27" s="56"/>
      <c r="N27" s="58"/>
      <c r="O27" s="58"/>
    </row>
    <row r="28" spans="1:15" ht="16.95" customHeight="1">
      <c r="A28" s="56"/>
      <c r="B28" s="56"/>
      <c r="C28" s="55"/>
      <c r="D28" s="56"/>
      <c r="E28" s="66"/>
      <c r="F28" s="66"/>
      <c r="G28" s="64" t="s">
        <v>32</v>
      </c>
      <c r="H28" s="65"/>
      <c r="I28" s="64" t="str">
        <f>IF(OR(E102=2,E102=3),"Your Partner:","(not required)")</f>
        <v>Your Partner:</v>
      </c>
      <c r="J28" s="56"/>
      <c r="K28" s="56"/>
      <c r="L28" s="56"/>
      <c r="N28" s="58"/>
      <c r="O28" s="58"/>
    </row>
    <row r="29" spans="1:15" ht="28.2" customHeight="1">
      <c r="A29" s="56"/>
      <c r="B29" s="56"/>
      <c r="C29" s="55" t="s">
        <v>174</v>
      </c>
      <c r="D29" s="56"/>
      <c r="E29" s="69">
        <f>G29+I29</f>
        <v>0</v>
      </c>
      <c r="F29" s="66"/>
      <c r="G29" s="140"/>
      <c r="H29" s="66"/>
      <c r="I29" s="140"/>
      <c r="J29" s="56"/>
      <c r="K29" s="56"/>
      <c r="L29" s="56"/>
      <c r="N29" s="58"/>
      <c r="O29" s="58"/>
    </row>
    <row r="30" spans="1:15" ht="28.2" customHeight="1">
      <c r="A30" s="56"/>
      <c r="B30" s="56"/>
      <c r="C30" s="55" t="s">
        <v>175</v>
      </c>
      <c r="D30" s="56"/>
      <c r="E30" s="140">
        <v>0</v>
      </c>
      <c r="F30" s="66"/>
      <c r="G30" s="133"/>
      <c r="H30" s="133"/>
      <c r="I30" s="133"/>
      <c r="J30" s="56"/>
      <c r="K30" s="56"/>
      <c r="L30" s="56"/>
      <c r="N30" s="58"/>
      <c r="O30" s="58"/>
    </row>
    <row r="31" spans="1:15" ht="28.2" customHeight="1" thickBot="1">
      <c r="A31" s="56"/>
      <c r="B31" s="56"/>
      <c r="C31" s="55" t="s">
        <v>176</v>
      </c>
      <c r="D31" s="134"/>
      <c r="E31" s="135">
        <f>SUM(E23:E26)+SUM(E29:E30)</f>
        <v>0</v>
      </c>
      <c r="F31" s="67"/>
      <c r="G31" s="133"/>
      <c r="H31" s="133"/>
      <c r="I31" s="133"/>
      <c r="J31" s="56"/>
      <c r="K31" s="56"/>
      <c r="L31" s="56"/>
      <c r="N31" s="58"/>
      <c r="O31" s="58"/>
    </row>
    <row r="32" spans="1:15" ht="13.2" customHeight="1" thickTop="1">
      <c r="A32" s="56"/>
      <c r="B32" s="56"/>
      <c r="C32" s="56"/>
      <c r="D32" s="56"/>
      <c r="E32" s="56"/>
      <c r="F32" s="56"/>
      <c r="G32" s="133"/>
      <c r="H32" s="133"/>
      <c r="I32" s="133"/>
      <c r="J32" s="56"/>
      <c r="K32" s="56"/>
      <c r="L32" s="56"/>
      <c r="N32" s="58"/>
      <c r="O32" s="58"/>
    </row>
    <row r="33" spans="1:15" ht="16.95" customHeight="1">
      <c r="A33" s="56"/>
      <c r="B33" s="56"/>
      <c r="C33" s="56"/>
      <c r="D33" s="56"/>
      <c r="E33" s="56"/>
      <c r="F33" s="56"/>
      <c r="G33" s="64" t="s">
        <v>32</v>
      </c>
      <c r="H33" s="65"/>
      <c r="I33" s="64" t="str">
        <f>IF(OR(E102=2,E102=3),"Your Partner:","(not required)")</f>
        <v>Your Partner:</v>
      </c>
      <c r="J33" s="56"/>
      <c r="K33" s="56"/>
      <c r="L33" s="56"/>
      <c r="N33" s="58"/>
      <c r="O33" s="58"/>
    </row>
    <row r="34" spans="1:15" ht="28.2" customHeight="1">
      <c r="A34" s="56"/>
      <c r="B34" s="60" t="s">
        <v>129</v>
      </c>
      <c r="C34" s="55" t="s">
        <v>213</v>
      </c>
      <c r="D34" s="56"/>
      <c r="E34" s="69">
        <f>G34+I34</f>
        <v>0</v>
      </c>
      <c r="F34" s="66"/>
      <c r="G34" s="140"/>
      <c r="H34" s="66"/>
      <c r="I34" s="140"/>
      <c r="J34" s="56"/>
      <c r="K34" s="56"/>
      <c r="L34" s="56"/>
      <c r="N34" s="58"/>
      <c r="O34" s="58"/>
    </row>
    <row r="35" spans="1:15" ht="28.2" customHeight="1">
      <c r="A35" s="56"/>
      <c r="B35" s="60" t="s">
        <v>203</v>
      </c>
      <c r="C35" s="55" t="s">
        <v>132</v>
      </c>
      <c r="D35" s="56"/>
      <c r="E35" s="140">
        <v>0</v>
      </c>
      <c r="F35" s="66"/>
      <c r="G35" s="133"/>
      <c r="H35" s="133"/>
      <c r="I35" s="133"/>
      <c r="J35" s="56"/>
      <c r="K35" s="56"/>
      <c r="L35" s="56"/>
      <c r="N35" s="58"/>
      <c r="O35" s="58"/>
    </row>
    <row r="36" spans="1:15" ht="28.2" customHeight="1">
      <c r="A36" s="56"/>
      <c r="B36" s="56"/>
      <c r="C36" s="55" t="s">
        <v>131</v>
      </c>
      <c r="D36" s="56"/>
      <c r="E36" s="140">
        <v>0</v>
      </c>
      <c r="F36" s="56"/>
      <c r="G36" s="133"/>
      <c r="H36" s="133"/>
      <c r="I36" s="133"/>
      <c r="J36" s="56"/>
      <c r="K36" s="56"/>
      <c r="L36" s="56"/>
      <c r="N36" s="58"/>
      <c r="O36" s="58"/>
    </row>
    <row r="37" spans="1:15" ht="28.2" customHeight="1">
      <c r="A37" s="56"/>
      <c r="B37" s="56"/>
      <c r="C37" s="55" t="s">
        <v>133</v>
      </c>
      <c r="D37" s="56"/>
      <c r="E37" s="140">
        <v>0</v>
      </c>
      <c r="F37" s="56"/>
      <c r="G37" s="133"/>
      <c r="H37" s="133"/>
      <c r="I37" s="133"/>
      <c r="J37" s="56"/>
      <c r="K37" s="56"/>
      <c r="L37" s="56"/>
      <c r="N37" s="58"/>
      <c r="O37" s="58"/>
    </row>
    <row r="38" spans="1:15" ht="28.2" customHeight="1" thickBot="1">
      <c r="A38" s="56"/>
      <c r="B38" s="56"/>
      <c r="C38" s="55" t="s">
        <v>177</v>
      </c>
      <c r="D38" s="65"/>
      <c r="E38" s="135">
        <f>SUM(E34:E37)</f>
        <v>0</v>
      </c>
      <c r="F38" s="69"/>
      <c r="G38" s="133"/>
      <c r="H38" s="133"/>
      <c r="I38" s="133"/>
      <c r="J38" s="56"/>
      <c r="K38" s="56"/>
      <c r="L38" s="56"/>
      <c r="N38" s="58"/>
      <c r="O38" s="58"/>
    </row>
    <row r="39" spans="1:15" ht="15" customHeight="1" thickTop="1" thickBot="1">
      <c r="A39" s="56"/>
      <c r="B39" s="56"/>
      <c r="C39" s="56"/>
      <c r="D39" s="56"/>
      <c r="E39" s="56"/>
      <c r="F39" s="56"/>
      <c r="G39" s="133"/>
      <c r="H39" s="133"/>
      <c r="I39" s="133"/>
      <c r="J39" s="56"/>
      <c r="K39" s="56"/>
      <c r="L39" s="56"/>
      <c r="N39" s="58"/>
      <c r="O39" s="58"/>
    </row>
    <row r="40" spans="1:15" ht="28.95" customHeight="1" thickBot="1">
      <c r="A40" s="56"/>
      <c r="B40" s="152" t="s">
        <v>126</v>
      </c>
      <c r="C40" s="56"/>
      <c r="D40" s="56"/>
      <c r="E40" s="56"/>
      <c r="F40" s="56"/>
      <c r="G40" s="56"/>
      <c r="H40" s="56"/>
      <c r="I40" s="56"/>
      <c r="J40" s="56"/>
      <c r="K40" s="56"/>
      <c r="L40" s="56"/>
      <c r="N40" s="58"/>
      <c r="O40" s="58"/>
    </row>
    <row r="41" spans="1:15" ht="25.95" customHeight="1" thickBot="1">
      <c r="A41" s="56"/>
      <c r="B41" s="151" t="s">
        <v>32</v>
      </c>
      <c r="C41" s="56"/>
      <c r="D41" s="56"/>
      <c r="E41" s="56"/>
      <c r="F41" s="56"/>
      <c r="G41" s="56"/>
      <c r="H41" s="56"/>
      <c r="I41" s="56"/>
      <c r="J41" s="56"/>
      <c r="K41" s="56"/>
      <c r="L41" s="56"/>
      <c r="N41" s="58"/>
      <c r="O41" s="58"/>
    </row>
    <row r="42" spans="1:15" ht="37.950000000000003" customHeight="1">
      <c r="A42" s="56"/>
      <c r="B42" s="72" t="s">
        <v>84</v>
      </c>
      <c r="C42" s="197" t="str">
        <f>IF(G111=0,"-",E115)</f>
        <v>-</v>
      </c>
      <c r="D42" s="197"/>
      <c r="E42" s="197"/>
      <c r="F42" s="197"/>
      <c r="G42" s="197"/>
      <c r="H42" s="197"/>
      <c r="I42" s="197"/>
      <c r="J42" s="73"/>
      <c r="K42" s="74"/>
      <c r="L42" s="56"/>
      <c r="N42" s="58"/>
      <c r="O42" s="58"/>
    </row>
    <row r="43" spans="1:15" ht="30" customHeight="1">
      <c r="A43" s="56"/>
      <c r="B43" s="75"/>
      <c r="C43" s="190" t="str">
        <f>IF(G111=0,"-",E119)</f>
        <v>-</v>
      </c>
      <c r="D43" s="190"/>
      <c r="E43" s="190"/>
      <c r="F43" s="190"/>
      <c r="G43" s="190"/>
      <c r="H43" s="190"/>
      <c r="I43" s="190"/>
      <c r="J43" s="76"/>
      <c r="K43" s="77"/>
      <c r="L43" s="56"/>
      <c r="N43" s="58"/>
      <c r="O43" s="58"/>
    </row>
    <row r="44" spans="1:15" ht="42" customHeight="1">
      <c r="A44" s="56"/>
      <c r="B44" s="78" t="s">
        <v>104</v>
      </c>
      <c r="C44" s="191" t="str">
        <f>IF(G111=0,"-",C207)</f>
        <v>-</v>
      </c>
      <c r="D44" s="191"/>
      <c r="E44" s="191"/>
      <c r="F44" s="142"/>
      <c r="G44" s="156" t="str">
        <f>IF(G111=0,"-",G207)</f>
        <v>-</v>
      </c>
      <c r="H44" s="142"/>
      <c r="I44" s="195"/>
      <c r="J44" s="195"/>
      <c r="K44" s="79"/>
      <c r="L44" s="56"/>
      <c r="N44" s="58"/>
      <c r="O44" s="58"/>
    </row>
    <row r="45" spans="1:15" ht="30" customHeight="1">
      <c r="A45" s="56"/>
      <c r="B45" s="75" t="str">
        <f ca="1">G153</f>
        <v xml:space="preserve"> </v>
      </c>
      <c r="C45" s="188" t="str">
        <f ca="1">C153</f>
        <v xml:space="preserve"> </v>
      </c>
      <c r="D45" s="188"/>
      <c r="E45" s="188"/>
      <c r="F45" s="188"/>
      <c r="G45" s="188"/>
      <c r="H45" s="188"/>
      <c r="I45" s="188"/>
      <c r="J45" s="180"/>
      <c r="K45" s="77"/>
      <c r="L45" s="56"/>
      <c r="N45" s="58"/>
      <c r="O45" s="58"/>
    </row>
    <row r="46" spans="1:15" ht="58.05" customHeight="1" thickBot="1">
      <c r="A46" s="56"/>
      <c r="B46" s="80"/>
      <c r="C46" s="194" t="str">
        <f ca="1">I153</f>
        <v xml:space="preserve"> </v>
      </c>
      <c r="D46" s="194"/>
      <c r="E46" s="194"/>
      <c r="F46" s="194"/>
      <c r="G46" s="194"/>
      <c r="H46" s="194"/>
      <c r="I46" s="194"/>
      <c r="J46" s="155"/>
      <c r="K46" s="81"/>
      <c r="L46" s="56"/>
      <c r="N46" s="58"/>
      <c r="O46" s="58"/>
    </row>
    <row r="47" spans="1:15" ht="16.95" customHeight="1" thickBot="1">
      <c r="A47" s="56"/>
      <c r="B47" s="153"/>
      <c r="C47" s="154"/>
      <c r="D47" s="56"/>
      <c r="E47" s="56"/>
      <c r="F47" s="56"/>
      <c r="G47" s="56"/>
      <c r="H47" s="56"/>
      <c r="I47" s="56"/>
      <c r="J47" s="56"/>
      <c r="K47" s="56"/>
      <c r="L47" s="56"/>
      <c r="N47" s="58"/>
      <c r="O47" s="58"/>
    </row>
    <row r="48" spans="1:15" ht="31.2" customHeight="1" thickBot="1">
      <c r="A48" s="56"/>
      <c r="B48" s="71" t="s">
        <v>63</v>
      </c>
      <c r="C48" s="154"/>
      <c r="D48" s="56"/>
      <c r="E48" s="56"/>
      <c r="F48" s="56"/>
      <c r="G48" s="56"/>
      <c r="H48" s="56"/>
      <c r="I48" s="56"/>
      <c r="J48" s="56"/>
      <c r="K48" s="56"/>
      <c r="L48" s="56"/>
      <c r="N48" s="58"/>
      <c r="O48" s="58"/>
    </row>
    <row r="49" spans="1:15" ht="37.950000000000003" customHeight="1">
      <c r="A49" s="56"/>
      <c r="B49" s="72" t="s">
        <v>84</v>
      </c>
      <c r="C49" s="197" t="str">
        <f>IF(G122=0,"-",E126)</f>
        <v>-</v>
      </c>
      <c r="D49" s="197"/>
      <c r="E49" s="197"/>
      <c r="F49" s="197"/>
      <c r="G49" s="197"/>
      <c r="H49" s="197"/>
      <c r="I49" s="197"/>
      <c r="J49" s="73"/>
      <c r="K49" s="74"/>
      <c r="L49" s="56"/>
      <c r="N49" s="58"/>
      <c r="O49" s="58"/>
    </row>
    <row r="50" spans="1:15" ht="31.2" customHeight="1">
      <c r="A50" s="56"/>
      <c r="B50" s="75"/>
      <c r="C50" s="190" t="str">
        <f>IF(OR(E105="Single",G122=0),"-",E130)</f>
        <v>-</v>
      </c>
      <c r="D50" s="190"/>
      <c r="E50" s="190"/>
      <c r="F50" s="190"/>
      <c r="G50" s="190"/>
      <c r="H50" s="190"/>
      <c r="I50" s="190"/>
      <c r="J50" s="76"/>
      <c r="K50" s="77"/>
      <c r="L50" s="56"/>
      <c r="N50" s="58"/>
      <c r="O50" s="58"/>
    </row>
    <row r="51" spans="1:15" ht="45" customHeight="1">
      <c r="A51" s="56"/>
      <c r="B51" s="78" t="s">
        <v>104</v>
      </c>
      <c r="C51" s="191" t="str">
        <f>IF(OR(E105="Single",G122=0),"-",C208)</f>
        <v>-</v>
      </c>
      <c r="D51" s="191"/>
      <c r="E51" s="191"/>
      <c r="F51" s="142"/>
      <c r="G51" s="156" t="str">
        <f>IF(OR(E105="Single",G122=0),"-",G208)</f>
        <v>-</v>
      </c>
      <c r="H51" s="142"/>
      <c r="I51" s="195"/>
      <c r="J51" s="195"/>
      <c r="K51" s="79"/>
      <c r="L51" s="56"/>
      <c r="N51" s="58"/>
      <c r="O51" s="58"/>
    </row>
    <row r="52" spans="1:15" ht="30" customHeight="1">
      <c r="A52" s="56"/>
      <c r="B52" s="75" t="str">
        <f>G154</f>
        <v xml:space="preserve"> </v>
      </c>
      <c r="C52" s="188" t="str">
        <f>IF(E105="Single","-",C154)</f>
        <v xml:space="preserve"> </v>
      </c>
      <c r="D52" s="188"/>
      <c r="E52" s="188"/>
      <c r="F52" s="188"/>
      <c r="G52" s="188"/>
      <c r="H52" s="188"/>
      <c r="I52" s="188"/>
      <c r="J52" s="180"/>
      <c r="K52" s="77"/>
      <c r="L52" s="56"/>
      <c r="N52" s="58"/>
      <c r="O52" s="58"/>
    </row>
    <row r="53" spans="1:15" ht="58.05" customHeight="1" thickBot="1">
      <c r="A53" s="56"/>
      <c r="B53" s="80"/>
      <c r="C53" s="194" t="str">
        <f>I154</f>
        <v xml:space="preserve"> </v>
      </c>
      <c r="D53" s="194"/>
      <c r="E53" s="194"/>
      <c r="F53" s="194"/>
      <c r="G53" s="194"/>
      <c r="H53" s="194"/>
      <c r="I53" s="194"/>
      <c r="J53" s="155"/>
      <c r="K53" s="81"/>
      <c r="L53" s="56"/>
      <c r="N53" s="58"/>
      <c r="O53" s="58"/>
    </row>
    <row r="54" spans="1:15" ht="19.95" customHeight="1">
      <c r="A54" s="56"/>
      <c r="B54" s="56"/>
      <c r="C54" s="154"/>
      <c r="D54" s="56"/>
      <c r="E54" s="56"/>
      <c r="F54" s="56"/>
      <c r="G54" s="56"/>
      <c r="H54" s="56"/>
      <c r="I54" s="56"/>
      <c r="J54" s="56"/>
      <c r="K54" s="56"/>
      <c r="L54" s="56"/>
      <c r="N54" s="58"/>
      <c r="O54" s="58"/>
    </row>
    <row r="55" spans="1:15" ht="55.95" customHeight="1">
      <c r="A55" s="58"/>
      <c r="B55" s="70" t="s">
        <v>127</v>
      </c>
      <c r="C55" s="58"/>
      <c r="D55" s="58"/>
      <c r="E55" s="58"/>
      <c r="F55" s="58"/>
      <c r="G55" s="58"/>
      <c r="H55" s="58"/>
      <c r="I55" s="58"/>
      <c r="J55" s="58"/>
      <c r="K55" s="58"/>
      <c r="L55" s="58"/>
      <c r="N55" s="58"/>
      <c r="O55" s="58"/>
    </row>
    <row r="56" spans="1:15" ht="36" customHeight="1">
      <c r="A56" s="56"/>
      <c r="B56" s="90" t="str">
        <f>data!B4</f>
        <v>Deeming thresholds and rates effective 20 September 2025 until 19 September 2026</v>
      </c>
      <c r="C56" s="56"/>
      <c r="D56" s="56"/>
      <c r="E56" s="56"/>
      <c r="F56" s="56"/>
      <c r="G56" s="56"/>
      <c r="H56" s="56"/>
      <c r="I56" s="56"/>
      <c r="J56" s="56"/>
      <c r="K56" s="56"/>
      <c r="L56" s="56"/>
      <c r="N56" s="58"/>
      <c r="O56" s="58"/>
    </row>
    <row r="57" spans="1:15" ht="28.2" customHeight="1">
      <c r="A57" s="56"/>
      <c r="B57" s="82"/>
      <c r="C57" s="86" t="s">
        <v>89</v>
      </c>
      <c r="D57" s="56"/>
      <c r="E57" s="56"/>
      <c r="F57" s="56"/>
      <c r="G57" s="87"/>
      <c r="H57" s="87"/>
      <c r="I57" s="55" t="s">
        <v>128</v>
      </c>
      <c r="J57" s="82"/>
      <c r="K57" s="82"/>
      <c r="L57" s="82"/>
      <c r="N57" s="58"/>
      <c r="O57" s="58"/>
    </row>
    <row r="58" spans="1:15" ht="28.2" customHeight="1">
      <c r="A58" s="56"/>
      <c r="B58" s="83"/>
      <c r="C58" s="88" t="str">
        <f>VLOOKUP('Age Pension Eligibility'!E102,lists!B5:C7,2,FALSE)</f>
        <v>Couple - Living together</v>
      </c>
      <c r="D58" s="196" t="s">
        <v>72</v>
      </c>
      <c r="E58" s="196"/>
      <c r="F58" s="196"/>
      <c r="G58" s="84">
        <f>IF(C58="Single",data!C6,data!D6)</f>
        <v>106200</v>
      </c>
      <c r="H58" s="84"/>
      <c r="I58" s="85">
        <f>data!E6</f>
        <v>7.4999999999999997E-3</v>
      </c>
      <c r="J58" s="82"/>
      <c r="K58" s="82"/>
      <c r="L58" s="82"/>
      <c r="N58" s="58"/>
      <c r="O58" s="58"/>
    </row>
    <row r="59" spans="1:15" ht="28.2" customHeight="1">
      <c r="A59" s="56"/>
      <c r="B59" s="83"/>
      <c r="C59" s="89"/>
      <c r="D59" s="196" t="s">
        <v>73</v>
      </c>
      <c r="E59" s="196"/>
      <c r="F59" s="196"/>
      <c r="G59" s="84">
        <f>IF(C58="Single",data!C7,data!D7)</f>
        <v>106200</v>
      </c>
      <c r="H59" s="84"/>
      <c r="I59" s="85">
        <f>data!E7</f>
        <v>2.75E-2</v>
      </c>
      <c r="J59" s="82"/>
      <c r="K59" s="82"/>
      <c r="L59" s="82"/>
      <c r="N59" s="58"/>
      <c r="O59" s="58"/>
    </row>
    <row r="60" spans="1:15" ht="28.2" customHeight="1">
      <c r="A60" s="56"/>
      <c r="B60" s="82"/>
      <c r="C60" s="82"/>
      <c r="D60" s="82"/>
      <c r="E60" s="82"/>
      <c r="F60" s="82"/>
      <c r="G60" s="82"/>
      <c r="H60" s="82"/>
      <c r="I60" s="82"/>
      <c r="J60" s="82"/>
      <c r="K60" s="82"/>
      <c r="L60" s="82"/>
      <c r="N60" s="58"/>
      <c r="O60" s="58"/>
    </row>
    <row r="61" spans="1:15" ht="36" customHeight="1">
      <c r="A61" s="56"/>
      <c r="B61" s="90" t="str">
        <f>data!B9</f>
        <v>The income limits for the Pension Income Test, effective 20 September 2025 are as follows (fortnightly income figures shown):</v>
      </c>
      <c r="C61" s="56"/>
      <c r="D61" s="56"/>
      <c r="E61" s="56"/>
      <c r="F61" s="56"/>
      <c r="G61" s="56"/>
      <c r="H61" s="56"/>
      <c r="I61" s="56"/>
      <c r="J61" s="56"/>
      <c r="K61" s="56"/>
      <c r="L61" s="56"/>
      <c r="N61" s="58"/>
      <c r="O61" s="58"/>
    </row>
    <row r="62" spans="1:15" ht="58.95" customHeight="1">
      <c r="A62" s="56"/>
      <c r="B62" s="56"/>
      <c r="C62" s="86" t="s">
        <v>89</v>
      </c>
      <c r="D62" s="86"/>
      <c r="E62" s="92" t="s">
        <v>204</v>
      </c>
      <c r="F62" s="86"/>
      <c r="G62" s="92" t="s">
        <v>205</v>
      </c>
      <c r="H62" s="86"/>
      <c r="I62" s="92" t="s">
        <v>206</v>
      </c>
      <c r="J62" s="56"/>
      <c r="K62" s="56"/>
      <c r="L62" s="56"/>
      <c r="N62" s="58"/>
      <c r="O62" s="58"/>
    </row>
    <row r="63" spans="1:15" ht="37.950000000000003" customHeight="1">
      <c r="A63" s="56"/>
      <c r="B63" s="82"/>
      <c r="C63" s="88" t="str">
        <f>VLOOKUP('Age Pension Eligibility'!E102,lists!B5:C7,2,FALSE)</f>
        <v>Couple - Living together</v>
      </c>
      <c r="D63" s="94"/>
      <c r="E63" s="95">
        <f>VLOOKUP($C$63,data!$C$11:$F$13,2,FALSE)</f>
        <v>380</v>
      </c>
      <c r="F63" s="95"/>
      <c r="G63" s="95" t="str">
        <f>VLOOKUP($C$63,data!$C$11:$F$13,3,FALSE)</f>
        <v>Between $380 and $3,934.00</v>
      </c>
      <c r="H63" s="95"/>
      <c r="I63" s="95">
        <f>VLOOKUP($C$63,data!$C$11:$F$13,4,FALSE)</f>
        <v>3934</v>
      </c>
      <c r="J63" s="82"/>
      <c r="K63" s="82"/>
      <c r="L63" s="82"/>
      <c r="N63" s="58"/>
      <c r="O63" s="58"/>
    </row>
    <row r="64" spans="1:15" ht="28.2" customHeight="1">
      <c r="A64" s="56"/>
      <c r="B64" s="82"/>
      <c r="C64" s="82"/>
      <c r="D64" s="82"/>
      <c r="E64" s="82"/>
      <c r="F64" s="82"/>
      <c r="G64" s="82"/>
      <c r="H64" s="82"/>
      <c r="I64" s="82"/>
      <c r="J64" s="82"/>
      <c r="K64" s="82"/>
      <c r="L64" s="82"/>
      <c r="N64" s="58"/>
      <c r="O64" s="58"/>
    </row>
    <row r="65" spans="1:15" ht="34.950000000000003" customHeight="1">
      <c r="A65" s="56"/>
      <c r="B65" s="90" t="str">
        <f>data!B15</f>
        <v>The asset limits for the Pension Asset test, effective 20 September 2025, are as follows:</v>
      </c>
      <c r="C65" s="56"/>
      <c r="D65" s="56"/>
      <c r="E65" s="56"/>
      <c r="F65" s="56"/>
      <c r="G65" s="56"/>
      <c r="H65" s="56"/>
      <c r="I65" s="56"/>
      <c r="J65" s="56"/>
      <c r="K65" s="56"/>
      <c r="L65" s="56"/>
      <c r="N65" s="58"/>
      <c r="O65" s="58"/>
    </row>
    <row r="66" spans="1:15" ht="58.95" customHeight="1">
      <c r="A66" s="56"/>
      <c r="B66" s="82"/>
      <c r="C66" s="86" t="s">
        <v>89</v>
      </c>
      <c r="D66" s="86"/>
      <c r="E66" s="92" t="s">
        <v>209</v>
      </c>
      <c r="F66" s="64"/>
      <c r="G66" s="92" t="s">
        <v>208</v>
      </c>
      <c r="H66" s="64"/>
      <c r="I66" s="92" t="s">
        <v>207</v>
      </c>
      <c r="J66" s="56"/>
      <c r="K66" s="82"/>
      <c r="L66" s="82"/>
      <c r="N66" s="58"/>
      <c r="O66" s="58"/>
    </row>
    <row r="67" spans="1:15" ht="34.950000000000003" customHeight="1">
      <c r="A67" s="56"/>
      <c r="B67" s="82"/>
      <c r="C67" s="88" t="str">
        <f>VLOOKUP('Age Pension Eligibility'!E102,lists!B5:C7,2,FALSE) &amp;","&amp;" "&amp; VLOOKUP('Age Pension Eligibility'!E103,lists!B9:C10,2,FALSE)</f>
        <v>Couple - Living together, Home Owner/s</v>
      </c>
      <c r="D67" s="89"/>
      <c r="E67" s="161">
        <f>VLOOKUP(C67,data!C17:G24,3,FALSE)</f>
        <v>481500</v>
      </c>
      <c r="F67" s="93"/>
      <c r="G67" s="95" t="str">
        <f>VLOOKUP(C67,data!C17:G24,4,FALSE)</f>
        <v>$481,500 and $1,074,000</v>
      </c>
      <c r="H67" s="93"/>
      <c r="I67" s="161">
        <f>VLOOKUP(C67,data!C17:G24,5,FALSE)</f>
        <v>1074000</v>
      </c>
      <c r="J67" s="56"/>
      <c r="K67" s="56"/>
      <c r="L67" s="82"/>
      <c r="N67" s="58"/>
      <c r="O67" s="58"/>
    </row>
    <row r="68" spans="1:15">
      <c r="A68" s="56"/>
      <c r="B68" s="82"/>
      <c r="C68" s="82"/>
      <c r="D68" s="82"/>
      <c r="E68" s="82"/>
      <c r="F68" s="82"/>
      <c r="G68" s="82"/>
      <c r="H68" s="82"/>
      <c r="I68" s="82"/>
      <c r="J68" s="82"/>
      <c r="K68" s="82"/>
      <c r="L68" s="82"/>
      <c r="N68" s="58"/>
      <c r="O68" s="58"/>
    </row>
    <row r="69" spans="1:15" ht="40.200000000000003" customHeight="1">
      <c r="A69" s="56"/>
      <c r="B69" s="90" t="s">
        <v>27</v>
      </c>
      <c r="C69" s="82"/>
      <c r="D69" s="82"/>
      <c r="E69" s="82"/>
      <c r="F69" s="82"/>
      <c r="G69" s="82"/>
      <c r="H69" s="82"/>
      <c r="I69" s="82"/>
      <c r="J69" s="82"/>
      <c r="K69" s="82"/>
      <c r="L69" s="82"/>
      <c r="N69" s="58"/>
      <c r="O69" s="58"/>
    </row>
    <row r="70" spans="1:15" ht="39" customHeight="1">
      <c r="A70" s="56"/>
      <c r="B70" s="82"/>
      <c r="C70" s="86" t="s">
        <v>38</v>
      </c>
      <c r="D70" s="86"/>
      <c r="E70" s="91" t="s">
        <v>88</v>
      </c>
      <c r="F70" s="100"/>
      <c r="G70" s="82"/>
      <c r="H70" s="82"/>
      <c r="I70" s="82"/>
      <c r="J70" s="82"/>
      <c r="K70" s="82"/>
      <c r="L70" s="82"/>
      <c r="N70" s="58"/>
      <c r="O70" s="58"/>
    </row>
    <row r="71" spans="1:15" ht="37.200000000000003" customHeight="1">
      <c r="A71" s="56"/>
      <c r="B71" s="82"/>
      <c r="C71" s="103" t="s">
        <v>34</v>
      </c>
      <c r="D71" s="103"/>
      <c r="E71" s="103">
        <v>65</v>
      </c>
      <c r="F71" s="101"/>
      <c r="G71" s="82"/>
      <c r="H71" s="82"/>
      <c r="I71" s="82"/>
      <c r="J71" s="82"/>
      <c r="K71" s="82"/>
      <c r="L71" s="82"/>
      <c r="N71" s="58"/>
      <c r="O71" s="58"/>
    </row>
    <row r="72" spans="1:15" ht="37.200000000000003" customHeight="1">
      <c r="A72" s="56"/>
      <c r="B72" s="82"/>
      <c r="C72" s="103" t="s">
        <v>19</v>
      </c>
      <c r="D72" s="103"/>
      <c r="E72" s="103" t="s">
        <v>20</v>
      </c>
      <c r="F72" s="102"/>
      <c r="G72" s="82"/>
      <c r="H72" s="82"/>
      <c r="I72" s="82"/>
      <c r="J72" s="82"/>
      <c r="K72" s="82"/>
      <c r="L72" s="82"/>
      <c r="N72" s="58"/>
      <c r="O72" s="58"/>
    </row>
    <row r="73" spans="1:15" ht="37.200000000000003" customHeight="1">
      <c r="A73" s="56"/>
      <c r="B73" s="82"/>
      <c r="C73" s="103" t="s">
        <v>21</v>
      </c>
      <c r="D73" s="103"/>
      <c r="E73" s="103" t="s">
        <v>22</v>
      </c>
      <c r="F73" s="102"/>
      <c r="G73" s="82"/>
      <c r="H73" s="82"/>
      <c r="I73" s="82"/>
      <c r="J73" s="82"/>
      <c r="K73" s="82"/>
      <c r="L73" s="82"/>
      <c r="N73" s="58"/>
      <c r="O73" s="58"/>
    </row>
    <row r="74" spans="1:15" ht="37.200000000000003" customHeight="1">
      <c r="A74" s="56"/>
      <c r="B74" s="82"/>
      <c r="C74" s="103" t="s">
        <v>23</v>
      </c>
      <c r="D74" s="103"/>
      <c r="E74" s="103" t="s">
        <v>24</v>
      </c>
      <c r="F74" s="102"/>
      <c r="G74" s="82"/>
      <c r="H74" s="82"/>
      <c r="I74" s="82"/>
      <c r="J74" s="82"/>
      <c r="K74" s="82"/>
      <c r="L74" s="82"/>
      <c r="N74" s="58"/>
      <c r="O74" s="58"/>
    </row>
    <row r="75" spans="1:15" ht="37.200000000000003" customHeight="1">
      <c r="A75" s="56"/>
      <c r="B75" s="82"/>
      <c r="C75" s="103" t="s">
        <v>25</v>
      </c>
      <c r="D75" s="103"/>
      <c r="E75" s="103" t="s">
        <v>26</v>
      </c>
      <c r="F75" s="102"/>
      <c r="G75" s="82"/>
      <c r="H75" s="82"/>
      <c r="I75" s="82"/>
      <c r="J75" s="82"/>
      <c r="K75" s="82"/>
      <c r="L75" s="82"/>
      <c r="N75" s="58"/>
      <c r="O75" s="58"/>
    </row>
    <row r="76" spans="1:15">
      <c r="A76" s="56"/>
      <c r="B76" s="82"/>
      <c r="C76" s="82"/>
      <c r="D76" s="82"/>
      <c r="E76" s="82"/>
      <c r="F76" s="82"/>
      <c r="G76" s="82"/>
      <c r="H76" s="82"/>
      <c r="I76" s="82"/>
      <c r="J76" s="82"/>
      <c r="K76" s="82"/>
      <c r="L76" s="82"/>
      <c r="N76" s="58"/>
      <c r="O76" s="58"/>
    </row>
    <row r="77" spans="1:15" ht="34.950000000000003" customHeight="1">
      <c r="A77" s="56"/>
      <c r="B77" s="90" t="str">
        <f>data!B35</f>
        <v>SAPTO thresholds for 2024/2025 year</v>
      </c>
      <c r="C77" s="82"/>
      <c r="D77" s="82"/>
      <c r="E77" s="82"/>
      <c r="F77" s="82"/>
      <c r="G77" s="82"/>
      <c r="H77" s="82"/>
      <c r="I77" s="82"/>
      <c r="J77" s="82"/>
      <c r="K77" s="82"/>
      <c r="L77" s="82"/>
      <c r="N77" s="58"/>
      <c r="O77" s="58"/>
    </row>
    <row r="78" spans="1:15" ht="40.950000000000003" customHeight="1">
      <c r="A78" s="56"/>
      <c r="B78" s="82"/>
      <c r="C78" s="86" t="s">
        <v>92</v>
      </c>
      <c r="D78" s="86"/>
      <c r="E78" s="92" t="s">
        <v>29</v>
      </c>
      <c r="F78" s="86"/>
      <c r="G78" s="92" t="s">
        <v>30</v>
      </c>
      <c r="H78" s="86"/>
      <c r="I78" s="92" t="s">
        <v>31</v>
      </c>
      <c r="J78" s="97"/>
      <c r="K78" s="82"/>
      <c r="L78" s="82"/>
      <c r="N78" s="58"/>
      <c r="O78" s="58"/>
    </row>
    <row r="79" spans="1:15" ht="33" customHeight="1">
      <c r="A79" s="56"/>
      <c r="B79" s="82"/>
      <c r="C79" s="104" t="str">
        <f>VLOOKUP('Age Pension Eligibility'!E102,lists!B5:C7,2,FALSE)</f>
        <v>Couple - Living together</v>
      </c>
      <c r="D79" s="104"/>
      <c r="E79" s="105">
        <f>VLOOKUP(C79,data!C37:G41,3,FALSE)</f>
        <v>30994</v>
      </c>
      <c r="F79" s="105"/>
      <c r="G79" s="105">
        <f>VLOOKUP(C79,data!C37:G41,4,FALSE)</f>
        <v>43810</v>
      </c>
      <c r="H79" s="105"/>
      <c r="I79" s="105">
        <f>VLOOKUP(C79,data!C37:G41,5,FALSE)</f>
        <v>1602</v>
      </c>
      <c r="J79" s="97"/>
      <c r="K79" s="82"/>
      <c r="L79" s="82"/>
      <c r="N79" s="58"/>
      <c r="O79" s="58"/>
    </row>
    <row r="80" spans="1:15">
      <c r="A80" s="56"/>
      <c r="B80" s="82"/>
      <c r="C80" s="82"/>
      <c r="D80" s="82"/>
      <c r="E80" s="82"/>
      <c r="F80" s="82"/>
      <c r="G80" s="82"/>
      <c r="H80" s="82"/>
      <c r="I80" s="82"/>
      <c r="J80" s="82"/>
      <c r="K80" s="82"/>
      <c r="L80" s="82"/>
      <c r="N80" s="58"/>
      <c r="O80" s="58"/>
    </row>
    <row r="81" spans="1:15" ht="31.95" customHeight="1">
      <c r="A81" s="56"/>
      <c r="B81" s="106" t="str">
        <f>data!B44</f>
        <v>Basic Age Pension Rates, effective 20 September 2025 (per fortnight)</v>
      </c>
      <c r="C81" s="82"/>
      <c r="D81" s="82"/>
      <c r="E81" s="82"/>
      <c r="F81" s="82"/>
      <c r="G81" s="82"/>
      <c r="H81" s="82"/>
      <c r="I81" s="82"/>
      <c r="J81" s="82"/>
      <c r="K81" s="82"/>
      <c r="L81" s="82"/>
      <c r="N81" s="58"/>
      <c r="O81" s="58"/>
    </row>
    <row r="82" spans="1:15" ht="40.950000000000003" customHeight="1">
      <c r="A82" s="56"/>
      <c r="B82" s="82"/>
      <c r="C82" s="86" t="s">
        <v>92</v>
      </c>
      <c r="D82" s="86"/>
      <c r="E82" s="92" t="str">
        <f>VLOOKUP('Age Pension Eligibility'!E102,lists!B5:C7,2,FALSE)</f>
        <v>Couple - Living together</v>
      </c>
      <c r="F82" s="63"/>
      <c r="G82" s="82"/>
      <c r="H82" s="82"/>
      <c r="I82" s="82"/>
      <c r="J82" s="82"/>
      <c r="K82" s="82"/>
      <c r="L82" s="82"/>
      <c r="N82" s="58"/>
      <c r="O82" s="58"/>
    </row>
    <row r="83" spans="1:15" ht="28.2" customHeight="1">
      <c r="A83" s="56"/>
      <c r="B83" s="82"/>
      <c r="C83" s="104" t="s">
        <v>48</v>
      </c>
      <c r="D83" s="107"/>
      <c r="E83" s="95">
        <f>VLOOKUP($E$82,data!$C$47:$I$51,3,FALSE)</f>
        <v>813.9</v>
      </c>
      <c r="F83" s="99"/>
      <c r="G83" s="82"/>
      <c r="H83" s="82"/>
      <c r="I83" s="82"/>
      <c r="J83" s="82"/>
      <c r="K83" s="82"/>
      <c r="L83" s="82"/>
      <c r="N83" s="58"/>
      <c r="O83" s="58"/>
    </row>
    <row r="84" spans="1:15" ht="28.2" customHeight="1">
      <c r="A84" s="56"/>
      <c r="B84" s="82"/>
      <c r="C84" s="104" t="s">
        <v>49</v>
      </c>
      <c r="D84" s="107"/>
      <c r="E84" s="95">
        <f>VLOOKUP($E$82,data!$C$47:$I$51,4,FALSE)</f>
        <v>21161.399999999998</v>
      </c>
      <c r="F84" s="99"/>
      <c r="G84" s="82"/>
      <c r="H84" s="82"/>
      <c r="I84" s="82"/>
      <c r="J84" s="82"/>
      <c r="K84" s="82"/>
      <c r="L84" s="82"/>
      <c r="N84" s="58"/>
      <c r="O84" s="58"/>
    </row>
    <row r="85" spans="1:15" ht="28.2" customHeight="1">
      <c r="A85" s="56"/>
      <c r="B85" s="82"/>
      <c r="C85" s="104" t="s">
        <v>56</v>
      </c>
      <c r="D85" s="107"/>
      <c r="E85" s="95">
        <f>VLOOKUP($E$82,data!$C$47:$I$51,5,FALSE)</f>
        <v>64</v>
      </c>
      <c r="F85" s="99"/>
      <c r="G85" s="82"/>
      <c r="H85" s="82"/>
      <c r="I85" s="82"/>
      <c r="J85" s="82"/>
      <c r="K85" s="82"/>
      <c r="L85" s="82"/>
      <c r="N85" s="58"/>
      <c r="O85" s="58"/>
    </row>
    <row r="86" spans="1:15" ht="28.2" customHeight="1">
      <c r="A86" s="56"/>
      <c r="B86" s="82"/>
      <c r="C86" s="104" t="s">
        <v>62</v>
      </c>
      <c r="D86" s="107"/>
      <c r="E86" s="95">
        <f>VLOOKUP($E$82,data!$C$47:$I$51,6,FALSE)</f>
        <v>34.4</v>
      </c>
      <c r="F86" s="99"/>
      <c r="G86" s="82"/>
      <c r="H86" s="82"/>
      <c r="I86" s="82"/>
      <c r="J86" s="82"/>
      <c r="K86" s="82"/>
      <c r="L86" s="82"/>
      <c r="N86" s="58"/>
      <c r="O86" s="58"/>
    </row>
    <row r="87" spans="1:15" ht="28.2" customHeight="1">
      <c r="A87" s="56"/>
      <c r="B87" s="82"/>
      <c r="C87" s="104" t="s">
        <v>57</v>
      </c>
      <c r="D87" s="107"/>
      <c r="E87" s="95">
        <f>VLOOKUP($E$82,data!$C$47:$I$51,7,FALSE)</f>
        <v>10.6</v>
      </c>
      <c r="F87" s="99"/>
      <c r="G87" s="82"/>
      <c r="H87" s="82"/>
      <c r="I87" s="82"/>
      <c r="J87" s="82"/>
      <c r="K87" s="82"/>
      <c r="L87" s="82"/>
      <c r="N87" s="58"/>
      <c r="O87" s="58"/>
    </row>
    <row r="88" spans="1:15">
      <c r="A88" s="56"/>
      <c r="B88" s="82"/>
      <c r="C88" s="98"/>
      <c r="D88" s="98"/>
      <c r="E88" s="98"/>
      <c r="F88" s="98"/>
      <c r="G88" s="98"/>
      <c r="H88" s="98"/>
      <c r="I88" s="98"/>
      <c r="J88" s="98"/>
      <c r="K88" s="82"/>
      <c r="L88" s="82"/>
      <c r="N88" s="58"/>
      <c r="O88" s="58"/>
    </row>
    <row r="89" spans="1:15" ht="34.200000000000003" customHeight="1">
      <c r="A89" s="56"/>
      <c r="B89" s="96" t="s">
        <v>67</v>
      </c>
      <c r="C89" s="98"/>
      <c r="D89" s="98"/>
      <c r="E89" s="98"/>
      <c r="F89" s="98"/>
      <c r="G89" s="98"/>
      <c r="H89" s="98"/>
      <c r="I89" s="98"/>
      <c r="J89" s="98"/>
      <c r="K89" s="82"/>
      <c r="L89" s="82"/>
      <c r="N89" s="58"/>
      <c r="O89" s="58"/>
    </row>
    <row r="90" spans="1:15" ht="34.950000000000003" customHeight="1">
      <c r="A90" s="56"/>
      <c r="B90" s="56"/>
      <c r="C90" s="86" t="s">
        <v>99</v>
      </c>
      <c r="D90" s="107"/>
      <c r="E90" s="105">
        <f>data!D54</f>
        <v>7800</v>
      </c>
      <c r="F90" s="108"/>
      <c r="G90" s="98"/>
      <c r="H90" s="98"/>
      <c r="I90" s="98"/>
      <c r="J90" s="98"/>
      <c r="K90" s="56"/>
      <c r="L90" s="56"/>
      <c r="N90" s="58"/>
      <c r="O90" s="58"/>
    </row>
    <row r="91" spans="1:15" ht="57" customHeight="1">
      <c r="A91" s="56"/>
      <c r="B91" s="82"/>
      <c r="C91" s="98"/>
      <c r="D91" s="98"/>
      <c r="E91" s="98"/>
      <c r="F91" s="98"/>
      <c r="G91" s="98"/>
      <c r="H91" s="98"/>
      <c r="I91" s="98"/>
      <c r="J91" s="98"/>
      <c r="K91" s="82"/>
      <c r="L91" s="82"/>
      <c r="N91" s="58"/>
      <c r="O91" s="58"/>
    </row>
    <row r="92" spans="1:15" ht="18" customHeight="1">
      <c r="A92" s="56"/>
      <c r="B92" s="82"/>
      <c r="C92" s="98"/>
      <c r="D92" s="98"/>
      <c r="E92" s="98"/>
      <c r="F92" s="98"/>
      <c r="G92" s="99"/>
      <c r="H92" s="99"/>
      <c r="I92" s="98"/>
      <c r="J92" s="98"/>
      <c r="K92" s="82"/>
      <c r="L92" s="82"/>
      <c r="N92" s="58"/>
      <c r="O92" s="58"/>
    </row>
    <row r="93" spans="1:15" ht="19.95" customHeight="1">
      <c r="N93" s="58"/>
      <c r="O93" s="58"/>
    </row>
    <row r="94" spans="1:15" ht="19.95" customHeight="1">
      <c r="N94" s="58"/>
      <c r="O94" s="58"/>
    </row>
    <row r="95" spans="1:15" ht="19.95" customHeight="1">
      <c r="N95" s="58"/>
      <c r="O95" s="58"/>
    </row>
    <row r="96" spans="1:15" ht="19.95" customHeight="1">
      <c r="N96" s="58"/>
      <c r="O96" s="58"/>
    </row>
    <row r="97" spans="2:15" ht="25.95" customHeight="1">
      <c r="N97" s="58"/>
      <c r="O97" s="58"/>
    </row>
    <row r="98" spans="2:15" ht="25.95" customHeight="1">
      <c r="N98" s="58"/>
      <c r="O98" s="58"/>
    </row>
    <row r="99" spans="2:15" ht="25.95" hidden="1" customHeight="1">
      <c r="B99" s="31" t="s">
        <v>80</v>
      </c>
      <c r="N99" s="58"/>
      <c r="O99" s="58"/>
    </row>
    <row r="100" spans="2:15" ht="25.95" hidden="1" customHeight="1">
      <c r="N100" s="58"/>
      <c r="O100" s="58"/>
    </row>
    <row r="101" spans="2:15" ht="25.95" hidden="1" customHeight="1">
      <c r="B101" s="32" t="s">
        <v>61</v>
      </c>
      <c r="C101" s="33"/>
      <c r="D101" s="33"/>
      <c r="E101" s="33"/>
      <c r="F101" s="33"/>
      <c r="G101" s="33"/>
      <c r="H101" s="33"/>
      <c r="J101" s="33"/>
      <c r="K101" s="33"/>
      <c r="L101" s="33"/>
      <c r="N101" s="58"/>
      <c r="O101" s="58"/>
    </row>
    <row r="102" spans="2:15" ht="25.95" hidden="1" customHeight="1">
      <c r="B102" s="33"/>
      <c r="C102" s="33" t="s">
        <v>168</v>
      </c>
      <c r="D102" s="33"/>
      <c r="E102" s="141">
        <v>2</v>
      </c>
      <c r="F102" s="33"/>
      <c r="G102" s="33"/>
      <c r="H102" s="33"/>
      <c r="J102" s="33"/>
      <c r="K102" s="33"/>
      <c r="L102" s="33"/>
      <c r="N102" s="58"/>
      <c r="O102" s="58"/>
    </row>
    <row r="103" spans="2:15" ht="25.95" hidden="1" customHeight="1">
      <c r="B103" s="33"/>
      <c r="C103" s="33" t="s">
        <v>169</v>
      </c>
      <c r="D103" s="33"/>
      <c r="E103" s="141">
        <v>1</v>
      </c>
      <c r="F103" s="33"/>
      <c r="G103" s="33"/>
      <c r="H103" s="33"/>
      <c r="J103" s="33"/>
      <c r="K103" s="33"/>
      <c r="L103" s="33"/>
      <c r="N103" s="58"/>
      <c r="O103" s="58"/>
    </row>
    <row r="104" spans="2:15" ht="25.95" hidden="1" customHeight="1">
      <c r="C104" s="34" t="s">
        <v>33</v>
      </c>
      <c r="D104" s="34"/>
      <c r="E104" s="35">
        <f ca="1">TODAY()</f>
        <v>45902</v>
      </c>
      <c r="F104" s="35"/>
      <c r="G104" s="36" t="s">
        <v>95</v>
      </c>
      <c r="H104" s="36"/>
      <c r="I104" s="37">
        <f ca="1">E104</f>
        <v>45902</v>
      </c>
      <c r="J104" s="33"/>
      <c r="K104" s="33"/>
      <c r="L104" s="33"/>
      <c r="N104" s="58"/>
      <c r="O104" s="58"/>
    </row>
    <row r="105" spans="2:15" ht="25.95" hidden="1" customHeight="1">
      <c r="C105" s="33" t="s">
        <v>2</v>
      </c>
      <c r="D105" s="33"/>
      <c r="E105" s="38" t="str">
        <f>VLOOKUP(E102,lists!B5:C7,2,FALSE)</f>
        <v>Couple - Living together</v>
      </c>
      <c r="F105" s="38"/>
      <c r="G105" s="33"/>
      <c r="H105" s="33"/>
      <c r="J105" s="33"/>
      <c r="K105" s="33"/>
      <c r="L105" s="33"/>
      <c r="N105" s="58"/>
      <c r="O105" s="58"/>
    </row>
    <row r="106" spans="2:15" ht="25.95" hidden="1" customHeight="1">
      <c r="C106" s="33" t="s">
        <v>47</v>
      </c>
      <c r="D106" s="33"/>
      <c r="E106" s="38" t="str">
        <f>VLOOKUP(E103,lists!B9:C10,2,FALSE)</f>
        <v>Home Owner/s</v>
      </c>
      <c r="F106" s="38"/>
      <c r="G106" s="33"/>
      <c r="H106" s="33"/>
      <c r="J106" s="33"/>
      <c r="K106" s="33"/>
      <c r="L106" s="33"/>
      <c r="N106" s="58"/>
      <c r="O106" s="58"/>
    </row>
    <row r="107" spans="2:15" ht="25.95" hidden="1" customHeight="1">
      <c r="B107" s="33"/>
      <c r="C107" s="33"/>
      <c r="D107" s="33"/>
      <c r="G107" s="33"/>
      <c r="H107" s="33"/>
      <c r="J107" s="33"/>
      <c r="K107" s="33"/>
      <c r="L107" s="33"/>
      <c r="N107" s="58"/>
      <c r="O107" s="58"/>
    </row>
    <row r="108" spans="2:15" ht="25.95" hidden="1" customHeight="1">
      <c r="B108" s="33"/>
      <c r="C108" s="33"/>
      <c r="D108" s="33"/>
      <c r="E108" s="33"/>
      <c r="F108" s="33"/>
      <c r="G108" s="33"/>
      <c r="H108" s="33"/>
      <c r="I108" s="33"/>
      <c r="J108" s="33"/>
      <c r="K108" s="33"/>
      <c r="L108" s="33"/>
      <c r="N108" s="58"/>
      <c r="O108" s="58"/>
    </row>
    <row r="109" spans="2:15" ht="25.95" hidden="1" customHeight="1">
      <c r="B109" s="33"/>
      <c r="C109" s="33"/>
      <c r="D109" s="33"/>
      <c r="E109" s="33"/>
      <c r="F109" s="33"/>
      <c r="G109" s="33"/>
      <c r="H109" s="33"/>
      <c r="I109" s="33"/>
      <c r="J109" s="33"/>
      <c r="K109" s="33"/>
      <c r="L109" s="33"/>
      <c r="N109" s="58"/>
      <c r="O109" s="58"/>
    </row>
    <row r="110" spans="2:15" ht="25.95" hidden="1" customHeight="1">
      <c r="B110" s="32" t="s">
        <v>86</v>
      </c>
      <c r="C110" s="32" t="s">
        <v>32</v>
      </c>
      <c r="D110" s="32"/>
      <c r="N110" s="58"/>
      <c r="O110" s="58"/>
    </row>
    <row r="111" spans="2:15" ht="25.95" hidden="1" customHeight="1">
      <c r="B111" s="33"/>
      <c r="C111" s="33" t="s">
        <v>38</v>
      </c>
      <c r="D111" s="33"/>
      <c r="E111" s="35">
        <f>E11</f>
        <v>0</v>
      </c>
      <c r="F111" s="35"/>
      <c r="G111" s="37">
        <f>E111</f>
        <v>0</v>
      </c>
      <c r="H111" s="37"/>
      <c r="I111" s="33"/>
      <c r="J111" s="33"/>
      <c r="K111" s="33"/>
      <c r="L111" s="33"/>
      <c r="N111" s="58"/>
      <c r="O111" s="58"/>
    </row>
    <row r="112" spans="2:15" ht="25.95" hidden="1" customHeight="1">
      <c r="B112" s="33"/>
      <c r="C112" s="33" t="s">
        <v>39</v>
      </c>
      <c r="D112" s="33"/>
      <c r="E112" s="39">
        <f ca="1">((YEAR($E$104)-YEAR(E111))*12+MONTH($E$104)-MONTH(E111))/12</f>
        <v>125.66666666666667</v>
      </c>
      <c r="F112" s="39"/>
      <c r="G112" s="40" t="s">
        <v>81</v>
      </c>
      <c r="H112" s="40"/>
      <c r="I112" s="41">
        <f ca="1">INT(E112)</f>
        <v>125</v>
      </c>
      <c r="K112" s="33"/>
      <c r="N112" s="58"/>
      <c r="O112" s="58"/>
    </row>
    <row r="113" spans="2:15" ht="25.95" hidden="1" customHeight="1">
      <c r="B113" s="33"/>
      <c r="C113" s="33"/>
      <c r="D113" s="33"/>
      <c r="E113" s="42"/>
      <c r="F113" s="42"/>
      <c r="G113" s="40" t="s">
        <v>82</v>
      </c>
      <c r="H113" s="40"/>
      <c r="I113" s="41">
        <f ca="1">(E112-I112)*12</f>
        <v>8.0000000000000568</v>
      </c>
      <c r="K113" s="33"/>
      <c r="L113" s="40"/>
      <c r="N113" s="58"/>
      <c r="O113" s="58"/>
    </row>
    <row r="114" spans="2:15" ht="25.95" hidden="1" customHeight="1">
      <c r="B114" s="33"/>
      <c r="C114" s="33" t="s">
        <v>43</v>
      </c>
      <c r="D114" s="33"/>
      <c r="E114" s="43">
        <f>SUMPRODUCT(($E$111&gt;=data!E28:'data'!E32)*($E$111&lt;=data!F28:'data'!F32)*1*(data!G28:'data'!G32))</f>
        <v>0</v>
      </c>
      <c r="F114" s="43"/>
      <c r="G114" s="33"/>
      <c r="H114" s="33"/>
      <c r="I114" s="33"/>
      <c r="J114" s="33"/>
      <c r="K114" s="33"/>
      <c r="L114" s="33"/>
      <c r="N114" s="58"/>
      <c r="O114" s="58"/>
    </row>
    <row r="115" spans="2:15" ht="25.95" hidden="1" customHeight="1">
      <c r="B115" s="33"/>
      <c r="C115" s="31" t="s">
        <v>85</v>
      </c>
      <c r="E115" s="193" t="str">
        <f>"To be eligible for the Age Pension you must be " &amp; E114 &amp; " or older"</f>
        <v>To be eligible for the Age Pension you must be 0 or older</v>
      </c>
      <c r="F115" s="193"/>
      <c r="G115" s="193"/>
      <c r="H115" s="193"/>
      <c r="I115" s="193"/>
      <c r="J115" s="33"/>
      <c r="K115" s="33"/>
      <c r="L115" s="33"/>
      <c r="N115" s="58"/>
      <c r="O115" s="58"/>
    </row>
    <row r="116" spans="2:15" ht="25.95" hidden="1" customHeight="1">
      <c r="B116" s="33"/>
      <c r="C116" s="33" t="s">
        <v>44</v>
      </c>
      <c r="D116" s="33"/>
      <c r="E116" s="187" t="str">
        <f ca="1" xml:space="preserve"> "You are " &amp; INT(E112) &amp; "  years and " &amp; ROUND(I113,1) &amp; " months old and therefore do not currently meet the Age Pension age eligibility criteria"</f>
        <v>You are 125  years and 8 months old and therefore do not currently meet the Age Pension age eligibility criteria</v>
      </c>
      <c r="F116" s="187"/>
      <c r="G116" s="187"/>
      <c r="H116" s="187"/>
      <c r="I116" s="187"/>
      <c r="J116" s="33"/>
      <c r="K116" s="33"/>
      <c r="L116" s="33"/>
      <c r="N116" s="58"/>
      <c r="O116" s="58"/>
    </row>
    <row r="117" spans="2:15" ht="25.95" hidden="1" customHeight="1">
      <c r="B117" s="33"/>
      <c r="C117" s="33" t="s">
        <v>45</v>
      </c>
      <c r="D117" s="33"/>
      <c r="E117" s="187" t="str">
        <f ca="1" xml:space="preserve"> "You are " &amp; INT(E112) &amp; "  years and " &amp; ROUND(I113,1) &amp; " months old and therefore meet the Age Pension age eligibility criteria"</f>
        <v>You are 125  years and 8 months old and therefore meet the Age Pension age eligibility criteria</v>
      </c>
      <c r="F117" s="187"/>
      <c r="G117" s="187"/>
      <c r="H117" s="187"/>
      <c r="I117" s="187"/>
      <c r="J117" s="33"/>
      <c r="K117" s="33"/>
      <c r="L117" s="33"/>
      <c r="N117" s="58"/>
      <c r="O117" s="58"/>
    </row>
    <row r="118" spans="2:15" ht="25.95" hidden="1" customHeight="1">
      <c r="B118" s="33"/>
      <c r="C118" s="33" t="s">
        <v>83</v>
      </c>
      <c r="D118" s="33"/>
      <c r="E118" s="44" t="str">
        <f ca="1">IF(E112&gt;=E114,"Yes","No")</f>
        <v>Yes</v>
      </c>
      <c r="F118" s="44"/>
      <c r="G118" s="33"/>
      <c r="H118" s="33"/>
      <c r="I118" s="33"/>
      <c r="J118" s="33"/>
      <c r="K118" s="33"/>
      <c r="L118" s="33"/>
      <c r="N118" s="58"/>
      <c r="O118" s="58"/>
    </row>
    <row r="119" spans="2:15" ht="25.95" hidden="1" customHeight="1">
      <c r="B119" s="33"/>
      <c r="C119" s="33" t="s">
        <v>46</v>
      </c>
      <c r="D119" s="33"/>
      <c r="E119" s="192" t="str">
        <f ca="1">IF(E114&gt;=E112,E116,E117)</f>
        <v>You are 125  years and 8 months old and therefore meet the Age Pension age eligibility criteria</v>
      </c>
      <c r="F119" s="192"/>
      <c r="G119" s="192"/>
      <c r="H119" s="192"/>
      <c r="I119" s="192"/>
      <c r="J119" s="33"/>
      <c r="K119" s="33"/>
      <c r="L119" s="33"/>
      <c r="N119" s="58"/>
      <c r="O119" s="58"/>
    </row>
    <row r="120" spans="2:15" ht="25.95" hidden="1" customHeight="1">
      <c r="B120" s="33"/>
      <c r="C120" s="33"/>
      <c r="D120" s="33"/>
      <c r="E120" s="33"/>
      <c r="F120" s="33"/>
      <c r="G120" s="33"/>
      <c r="H120" s="33"/>
      <c r="I120" s="33"/>
      <c r="J120" s="33"/>
      <c r="K120" s="33"/>
      <c r="L120" s="33"/>
      <c r="N120" s="58"/>
      <c r="O120" s="58"/>
    </row>
    <row r="121" spans="2:15" ht="25.95" hidden="1" customHeight="1">
      <c r="B121" s="33"/>
      <c r="C121" s="32" t="s">
        <v>63</v>
      </c>
      <c r="D121" s="32"/>
      <c r="N121" s="58"/>
      <c r="O121" s="58"/>
    </row>
    <row r="122" spans="2:15" ht="25.95" hidden="1" customHeight="1">
      <c r="B122" s="33"/>
      <c r="C122" s="33" t="s">
        <v>38</v>
      </c>
      <c r="D122" s="33"/>
      <c r="E122" s="35">
        <f>IF(E105="Single",0,E13)</f>
        <v>0</v>
      </c>
      <c r="F122" s="35"/>
      <c r="G122" s="37">
        <f>E122</f>
        <v>0</v>
      </c>
      <c r="H122" s="37"/>
      <c r="I122" s="33"/>
      <c r="J122" s="33"/>
      <c r="K122" s="33"/>
      <c r="L122" s="33"/>
      <c r="N122" s="58"/>
      <c r="O122" s="58"/>
    </row>
    <row r="123" spans="2:15" ht="25.95" hidden="1" customHeight="1">
      <c r="B123" s="33"/>
      <c r="C123" s="33" t="s">
        <v>39</v>
      </c>
      <c r="D123" s="33"/>
      <c r="E123" s="39">
        <f ca="1">((YEAR($E$104)-YEAR(E122))*12+MONTH($E$104)-MONTH(E122))/12</f>
        <v>125.66666666666667</v>
      </c>
      <c r="F123" s="39"/>
      <c r="G123" s="40" t="s">
        <v>81</v>
      </c>
      <c r="H123" s="40"/>
      <c r="I123" s="41">
        <f ca="1">INT(E123)</f>
        <v>125</v>
      </c>
      <c r="K123" s="33"/>
      <c r="N123" s="58"/>
      <c r="O123" s="58"/>
    </row>
    <row r="124" spans="2:15" ht="25.95" hidden="1" customHeight="1">
      <c r="B124" s="33"/>
      <c r="C124" s="33"/>
      <c r="D124" s="33"/>
      <c r="E124" s="42"/>
      <c r="F124" s="42"/>
      <c r="G124" s="40" t="s">
        <v>82</v>
      </c>
      <c r="H124" s="40"/>
      <c r="I124" s="41">
        <f ca="1">(E123-I123)*12</f>
        <v>8.0000000000000568</v>
      </c>
      <c r="K124" s="33"/>
      <c r="L124" s="40"/>
      <c r="N124" s="58"/>
      <c r="O124" s="58"/>
    </row>
    <row r="125" spans="2:15" ht="25.95" hidden="1" customHeight="1">
      <c r="B125" s="33"/>
      <c r="C125" s="33" t="s">
        <v>43</v>
      </c>
      <c r="D125" s="33"/>
      <c r="E125" s="43">
        <f>SUMPRODUCT(($E$122&gt;=data!E28:'data'!E32)*($E$122&lt;=data!F28:'data'!F32)*1*(data!G28:'data'!G32))</f>
        <v>0</v>
      </c>
      <c r="F125" s="43"/>
      <c r="G125" s="33"/>
      <c r="H125" s="33"/>
      <c r="I125" s="33"/>
      <c r="J125" s="33"/>
      <c r="K125" s="33"/>
      <c r="L125" s="33"/>
      <c r="N125" s="58"/>
      <c r="O125" s="58"/>
    </row>
    <row r="126" spans="2:15" ht="25.95" hidden="1" customHeight="1">
      <c r="B126" s="33"/>
      <c r="C126" s="31" t="s">
        <v>85</v>
      </c>
      <c r="E126" s="193" t="str">
        <f>"To be eligible for the Age Pension your partner must be " &amp; E125 &amp; " or older"</f>
        <v>To be eligible for the Age Pension your partner must be 0 or older</v>
      </c>
      <c r="F126" s="193"/>
      <c r="G126" s="193"/>
      <c r="H126" s="193"/>
      <c r="I126" s="193"/>
      <c r="J126" s="33"/>
      <c r="K126" s="33"/>
      <c r="L126" s="33"/>
      <c r="N126" s="58"/>
      <c r="O126" s="58"/>
    </row>
    <row r="127" spans="2:15" ht="25.95" hidden="1" customHeight="1">
      <c r="B127" s="33"/>
      <c r="C127" s="33" t="s">
        <v>44</v>
      </c>
      <c r="D127" s="33"/>
      <c r="E127" s="187" t="str">
        <f ca="1" xml:space="preserve"> "Your partner is " &amp; INT(E123) &amp; "  years and " &amp; ROUND(I124,1) &amp; " months old and therefore does not currently meet the Age Pension age eligibility criteria"</f>
        <v>Your partner is 125  years and 8 months old and therefore does not currently meet the Age Pension age eligibility criteria</v>
      </c>
      <c r="F127" s="187"/>
      <c r="G127" s="187"/>
      <c r="H127" s="187"/>
      <c r="I127" s="187"/>
      <c r="J127" s="33"/>
      <c r="K127" s="33"/>
      <c r="L127" s="33"/>
      <c r="N127" s="58"/>
      <c r="O127" s="58"/>
    </row>
    <row r="128" spans="2:15" ht="25.95" hidden="1" customHeight="1">
      <c r="B128" s="33"/>
      <c r="C128" s="33" t="s">
        <v>45</v>
      </c>
      <c r="D128" s="33"/>
      <c r="E128" s="187" t="str">
        <f ca="1" xml:space="preserve"> "Your partner is " &amp; INT(E123) &amp; "  years and " &amp; ROUND(I124,1) &amp; " months old and therefore meets the Age Pension age eligibility criteria"</f>
        <v>Your partner is 125  years and 8 months old and therefore meets the Age Pension age eligibility criteria</v>
      </c>
      <c r="F128" s="187"/>
      <c r="G128" s="187"/>
      <c r="H128" s="187"/>
      <c r="I128" s="187"/>
      <c r="J128" s="33"/>
      <c r="K128" s="33"/>
      <c r="L128" s="33"/>
      <c r="N128" s="58"/>
      <c r="O128" s="58"/>
    </row>
    <row r="129" spans="2:15" ht="25.95" hidden="1" customHeight="1">
      <c r="B129" s="33"/>
      <c r="C129" s="33" t="s">
        <v>83</v>
      </c>
      <c r="D129" s="33"/>
      <c r="E129" s="44" t="str">
        <f>IF(G122=0,"No",IF(E123&gt;=E125,"Yes","No"))</f>
        <v>No</v>
      </c>
      <c r="F129" s="44"/>
      <c r="G129" s="33"/>
      <c r="H129" s="33"/>
      <c r="I129" s="33"/>
      <c r="J129" s="33"/>
      <c r="K129" s="33"/>
      <c r="L129" s="33"/>
      <c r="N129" s="58"/>
      <c r="O129" s="58"/>
    </row>
    <row r="130" spans="2:15" ht="25.95" hidden="1" customHeight="1">
      <c r="B130" s="33"/>
      <c r="C130" s="33" t="s">
        <v>46</v>
      </c>
      <c r="D130" s="33"/>
      <c r="E130" s="192" t="str">
        <f ca="1">IF(E125&gt;=E123,E127,E128)</f>
        <v>Your partner is 125  years and 8 months old and therefore meets the Age Pension age eligibility criteria</v>
      </c>
      <c r="F130" s="192"/>
      <c r="G130" s="192"/>
      <c r="H130" s="192"/>
      <c r="I130" s="192"/>
      <c r="J130" s="33"/>
      <c r="K130" s="33"/>
      <c r="L130" s="33"/>
      <c r="N130" s="58"/>
      <c r="O130" s="58"/>
    </row>
    <row r="131" spans="2:15" ht="25.95" hidden="1" customHeight="1">
      <c r="B131" s="33"/>
      <c r="C131" s="33"/>
      <c r="D131" s="33"/>
      <c r="E131" s="118"/>
      <c r="F131" s="118"/>
      <c r="G131" s="118"/>
      <c r="H131" s="118"/>
      <c r="I131" s="118"/>
      <c r="J131" s="33"/>
      <c r="K131" s="33"/>
      <c r="L131" s="33"/>
      <c r="N131" s="58"/>
      <c r="O131" s="58"/>
    </row>
    <row r="132" spans="2:15" ht="25.95" hidden="1" customHeight="1">
      <c r="B132" s="32" t="s">
        <v>145</v>
      </c>
      <c r="C132" s="32"/>
      <c r="D132" s="33"/>
      <c r="E132" s="118" t="s">
        <v>32</v>
      </c>
      <c r="F132" s="118"/>
      <c r="G132" s="118" t="s">
        <v>63</v>
      </c>
      <c r="H132" s="118"/>
      <c r="I132" s="118"/>
      <c r="J132" s="33"/>
      <c r="K132" s="33"/>
      <c r="L132" s="33"/>
      <c r="N132" s="58"/>
      <c r="O132" s="58"/>
    </row>
    <row r="133" spans="2:15" ht="25.95" hidden="1" customHeight="1">
      <c r="B133" s="33"/>
      <c r="C133" s="46" t="s">
        <v>146</v>
      </c>
      <c r="D133" s="33"/>
      <c r="E133" s="119">
        <f>E83</f>
        <v>813.9</v>
      </c>
      <c r="F133" s="118"/>
      <c r="G133" s="121">
        <f>IF(E105="Single","-",E83)</f>
        <v>813.9</v>
      </c>
      <c r="H133" s="118"/>
      <c r="I133" s="118"/>
      <c r="J133" s="33"/>
      <c r="K133" s="33"/>
      <c r="L133" s="33"/>
      <c r="N133" s="58"/>
      <c r="O133" s="58"/>
    </row>
    <row r="134" spans="2:15" ht="25.95" hidden="1" customHeight="1">
      <c r="B134" s="33"/>
      <c r="C134" s="46" t="s">
        <v>147</v>
      </c>
      <c r="D134" s="33"/>
      <c r="E134" s="119">
        <f>E85</f>
        <v>64</v>
      </c>
      <c r="F134" s="118"/>
      <c r="G134" s="121">
        <f>IF(E105="Single","-",E85)</f>
        <v>64</v>
      </c>
      <c r="H134" s="118"/>
      <c r="I134" s="118"/>
      <c r="J134" s="33"/>
      <c r="K134" s="33"/>
      <c r="L134" s="33"/>
      <c r="N134" s="58"/>
      <c r="O134" s="58"/>
    </row>
    <row r="135" spans="2:15" ht="25.95" hidden="1" customHeight="1" thickBot="1">
      <c r="B135" s="33"/>
      <c r="C135" s="46" t="s">
        <v>148</v>
      </c>
      <c r="D135" s="33"/>
      <c r="E135" s="124">
        <f>E87</f>
        <v>10.6</v>
      </c>
      <c r="F135" s="118"/>
      <c r="G135" s="124">
        <f>IF(E105="Single","-",E87)</f>
        <v>10.6</v>
      </c>
      <c r="H135" s="118"/>
      <c r="I135" s="118"/>
      <c r="J135" s="33"/>
      <c r="K135" s="33"/>
      <c r="L135" s="33"/>
      <c r="N135" s="58"/>
      <c r="O135" s="58"/>
    </row>
    <row r="136" spans="2:15" ht="25.95" hidden="1" customHeight="1" thickTop="1">
      <c r="B136" s="33"/>
      <c r="C136" s="46" t="s">
        <v>149</v>
      </c>
      <c r="D136" s="33"/>
      <c r="E136" s="120">
        <f>SUM(E133:E135)</f>
        <v>888.5</v>
      </c>
      <c r="F136" s="131"/>
      <c r="G136" s="120">
        <f>IF(E105="Single","-",SUM(G133:G135))</f>
        <v>888.5</v>
      </c>
      <c r="H136" s="118"/>
      <c r="I136" s="118"/>
      <c r="J136" s="33"/>
      <c r="K136" s="33"/>
      <c r="L136" s="33"/>
      <c r="N136" s="58"/>
      <c r="O136" s="58"/>
    </row>
    <row r="137" spans="2:15" ht="25.95" hidden="1" customHeight="1">
      <c r="B137" s="33"/>
      <c r="C137" s="33"/>
      <c r="D137" s="33"/>
      <c r="E137" s="118"/>
      <c r="F137" s="118"/>
      <c r="G137" s="118"/>
      <c r="H137" s="118"/>
      <c r="I137" s="118"/>
      <c r="J137" s="33"/>
      <c r="K137" s="33"/>
      <c r="L137" s="33"/>
      <c r="N137" s="58"/>
      <c r="O137" s="58"/>
    </row>
    <row r="138" spans="2:15" s="33" customFormat="1" ht="25.95" hidden="1" customHeight="1">
      <c r="B138" s="32" t="s">
        <v>139</v>
      </c>
      <c r="C138" s="114"/>
      <c r="D138" s="31"/>
      <c r="E138" s="31" t="s">
        <v>32</v>
      </c>
      <c r="F138" s="31"/>
      <c r="G138" s="31" t="s">
        <v>63</v>
      </c>
      <c r="H138" s="31"/>
      <c r="I138" s="31" t="s">
        <v>69</v>
      </c>
      <c r="M138" s="109"/>
      <c r="N138" s="109"/>
      <c r="O138" s="109"/>
    </row>
    <row r="139" spans="2:15" s="33" customFormat="1" ht="25.95" hidden="1" customHeight="1">
      <c r="C139" s="31" t="s">
        <v>166</v>
      </c>
      <c r="D139" s="31"/>
      <c r="E139" s="112"/>
      <c r="F139" s="31"/>
      <c r="G139" s="112"/>
      <c r="H139" s="31"/>
      <c r="I139" s="110">
        <f>E31-E29</f>
        <v>0</v>
      </c>
      <c r="M139" s="109"/>
      <c r="N139" s="109"/>
      <c r="O139" s="109"/>
    </row>
    <row r="140" spans="2:15" s="33" customFormat="1" ht="25.95" hidden="1" customHeight="1">
      <c r="C140" s="31" t="s">
        <v>137</v>
      </c>
      <c r="D140" s="31"/>
      <c r="E140" s="110">
        <f ca="1">IF(E118="Yes",G29,0)</f>
        <v>0</v>
      </c>
      <c r="F140" s="31"/>
      <c r="G140" s="110">
        <f>IF(E129="Yes",I29,0)</f>
        <v>0</v>
      </c>
      <c r="H140" s="31"/>
      <c r="I140" s="112">
        <f ca="1">E140+G140</f>
        <v>0</v>
      </c>
      <c r="M140" s="109"/>
      <c r="N140" s="109"/>
      <c r="O140" s="109"/>
    </row>
    <row r="141" spans="2:15" s="33" customFormat="1" ht="25.95" hidden="1" customHeight="1">
      <c r="C141" s="31" t="s">
        <v>138</v>
      </c>
      <c r="D141" s="31"/>
      <c r="E141" s="112"/>
      <c r="F141" s="31"/>
      <c r="G141" s="112"/>
      <c r="H141" s="31"/>
      <c r="I141" s="111">
        <f ca="1">I139+I140</f>
        <v>0</v>
      </c>
      <c r="M141" s="109"/>
      <c r="N141" s="109"/>
      <c r="O141" s="109"/>
    </row>
    <row r="142" spans="2:15" s="33" customFormat="1" ht="25.95" hidden="1" customHeight="1">
      <c r="C142" s="33" t="s">
        <v>96</v>
      </c>
      <c r="E142" s="31"/>
      <c r="F142" s="31"/>
      <c r="G142" s="31"/>
      <c r="H142" s="31"/>
      <c r="I142" s="45">
        <f ca="1">IF(I141&gt;G58, ((I141-G58)*I59+(G58*I58)), I141*I58)</f>
        <v>0</v>
      </c>
      <c r="M142" s="109"/>
      <c r="N142" s="109"/>
      <c r="O142" s="109"/>
    </row>
    <row r="143" spans="2:15" s="33" customFormat="1" ht="25.95" hidden="1" customHeight="1">
      <c r="C143" s="46" t="s">
        <v>97</v>
      </c>
      <c r="D143" s="46"/>
      <c r="E143" s="31"/>
      <c r="F143" s="31"/>
      <c r="G143" s="31"/>
      <c r="H143" s="31"/>
      <c r="I143" s="47">
        <f ca="1">I142/26</f>
        <v>0</v>
      </c>
      <c r="M143" s="109"/>
      <c r="N143" s="109"/>
      <c r="O143" s="109"/>
    </row>
    <row r="144" spans="2:15" s="33" customFormat="1" ht="25.95" hidden="1" customHeight="1">
      <c r="M144" s="109"/>
      <c r="N144" s="109"/>
      <c r="O144" s="109"/>
    </row>
    <row r="145" spans="2:17" s="33" customFormat="1" ht="25.95" hidden="1" customHeight="1">
      <c r="C145" s="33" t="s">
        <v>98</v>
      </c>
      <c r="M145" s="109"/>
      <c r="N145" s="109"/>
      <c r="O145" s="109"/>
    </row>
    <row r="146" spans="2:17" s="33" customFormat="1" ht="25.95" hidden="1" customHeight="1">
      <c r="C146" s="48" t="s">
        <v>64</v>
      </c>
      <c r="D146" s="48"/>
      <c r="E146" s="49" t="str">
        <f ca="1">E118</f>
        <v>Yes</v>
      </c>
      <c r="F146" s="49"/>
      <c r="G146" s="50" t="str">
        <f>IF(E105="Single",0,E129)</f>
        <v>No</v>
      </c>
      <c r="H146" s="50"/>
      <c r="M146" s="109"/>
      <c r="N146" s="109"/>
      <c r="O146" s="109"/>
    </row>
    <row r="147" spans="2:17" s="33" customFormat="1" ht="25.95" hidden="1" customHeight="1">
      <c r="C147" s="46" t="s">
        <v>65</v>
      </c>
      <c r="D147" s="46"/>
      <c r="E147" s="49" t="str">
        <f>IF(G34&gt;0,"Yes","No")</f>
        <v>No</v>
      </c>
      <c r="F147" s="49"/>
      <c r="G147" s="49" t="str">
        <f>IF(I34&gt;0,"Yes","No")</f>
        <v>No</v>
      </c>
      <c r="H147" s="49"/>
      <c r="M147" s="109"/>
      <c r="N147" s="109"/>
      <c r="O147" s="109"/>
    </row>
    <row r="148" spans="2:17" s="33" customFormat="1" ht="25.95" hidden="1" customHeight="1">
      <c r="C148" s="46" t="s">
        <v>66</v>
      </c>
      <c r="D148" s="46"/>
      <c r="E148" s="44" t="str">
        <f ca="1">IF(AND(E146="Yes",E147="Yes"),"Yes","No")</f>
        <v>No</v>
      </c>
      <c r="F148" s="44"/>
      <c r="G148" s="44" t="str">
        <f>IF(AND(G146="Yes",G147="Yes"),"Yes","No")</f>
        <v>No</v>
      </c>
      <c r="H148" s="44"/>
      <c r="M148" s="109"/>
      <c r="N148" s="109"/>
      <c r="O148" s="109"/>
    </row>
    <row r="149" spans="2:17" s="33" customFormat="1" ht="25.95" hidden="1" customHeight="1">
      <c r="C149" s="46"/>
      <c r="D149" s="46"/>
      <c r="E149" s="46"/>
      <c r="F149" s="46"/>
      <c r="G149" s="46"/>
      <c r="H149" s="46"/>
      <c r="I149" s="46"/>
      <c r="M149" s="109"/>
      <c r="N149" s="109"/>
      <c r="O149" s="109"/>
    </row>
    <row r="150" spans="2:17" s="33" customFormat="1" ht="94.95" hidden="1" customHeight="1">
      <c r="C150" s="46" t="s">
        <v>217</v>
      </c>
      <c r="D150" s="46"/>
      <c r="E150" s="187" t="s">
        <v>218</v>
      </c>
      <c r="F150" s="187"/>
      <c r="G150" s="187"/>
      <c r="H150" s="187"/>
      <c r="I150" s="187"/>
      <c r="M150" s="187" t="s">
        <v>219</v>
      </c>
      <c r="N150" s="187"/>
      <c r="O150" s="187"/>
      <c r="P150" s="187"/>
      <c r="Q150" s="187"/>
    </row>
    <row r="151" spans="2:17" s="33" customFormat="1" ht="25.95" hidden="1" customHeight="1">
      <c r="C151" s="46"/>
      <c r="D151" s="46"/>
      <c r="M151" s="109"/>
      <c r="N151" s="109"/>
      <c r="O151" s="109"/>
    </row>
    <row r="152" spans="2:17" s="33" customFormat="1" ht="25.95" hidden="1" customHeight="1">
      <c r="B152" s="46" t="s">
        <v>196</v>
      </c>
      <c r="G152" s="33" t="s">
        <v>198</v>
      </c>
      <c r="M152" s="109"/>
      <c r="N152" s="109"/>
      <c r="O152" s="109"/>
    </row>
    <row r="153" spans="2:17" s="33" customFormat="1" ht="25.95" hidden="1" customHeight="1">
      <c r="B153" s="46" t="s">
        <v>32</v>
      </c>
      <c r="C153" s="51" t="str">
        <f ca="1">IF(E148="Yes","You qualify for the Work Bonus allowance of up to $" &amp; E90 &amp; "/ annum.", " ")</f>
        <v xml:space="preserve"> </v>
      </c>
      <c r="D153" s="51"/>
      <c r="E153" s="33" t="s">
        <v>197</v>
      </c>
      <c r="G153" s="44" t="str">
        <f ca="1">IF(E148="Yes","Work Bonus", " ")</f>
        <v xml:space="preserve"> </v>
      </c>
      <c r="I153" s="44" t="str">
        <f ca="1">IF(E148="Yes",E150, " ")</f>
        <v xml:space="preserve"> </v>
      </c>
      <c r="M153" s="109"/>
      <c r="N153" s="109"/>
      <c r="O153" s="109"/>
    </row>
    <row r="154" spans="2:17" s="33" customFormat="1" ht="25.95" hidden="1" customHeight="1">
      <c r="B154" s="46" t="s">
        <v>87</v>
      </c>
      <c r="C154" s="51" t="str">
        <f>IF(G148="Yes","Your partner qualifies for the Work Bonus allowance of up to $" &amp; E90 &amp; "/ annum.", " ")</f>
        <v xml:space="preserve"> </v>
      </c>
      <c r="D154" s="51"/>
      <c r="E154" s="33" t="s">
        <v>197</v>
      </c>
      <c r="G154" s="44" t="str">
        <f>IF(G148="Yes","Work Bonus", " ")</f>
        <v xml:space="preserve"> </v>
      </c>
      <c r="I154" s="44" t="str">
        <f>IF(G148="Yes",M150, " ")</f>
        <v xml:space="preserve"> </v>
      </c>
      <c r="M154" s="109"/>
      <c r="N154" s="109"/>
      <c r="O154" s="109"/>
    </row>
    <row r="155" spans="2:17" s="33" customFormat="1" ht="25.95" hidden="1" customHeight="1">
      <c r="C155" s="46"/>
      <c r="D155" s="46"/>
      <c r="M155" s="109"/>
      <c r="N155" s="109"/>
      <c r="O155" s="109"/>
    </row>
    <row r="156" spans="2:17" s="33" customFormat="1" ht="25.95" hidden="1" customHeight="1">
      <c r="C156" s="33" t="s">
        <v>100</v>
      </c>
      <c r="M156" s="109"/>
      <c r="N156" s="109"/>
      <c r="O156" s="109"/>
    </row>
    <row r="157" spans="2:17" s="33" customFormat="1" ht="25.95" hidden="1" customHeight="1">
      <c r="C157" s="46" t="s">
        <v>101</v>
      </c>
      <c r="D157" s="46"/>
      <c r="E157" s="52">
        <f>E90</f>
        <v>7800</v>
      </c>
      <c r="F157" s="52"/>
      <c r="G157" s="52">
        <f>E90</f>
        <v>7800</v>
      </c>
      <c r="H157" s="52"/>
      <c r="M157" s="109"/>
      <c r="N157" s="109"/>
      <c r="O157" s="109"/>
    </row>
    <row r="158" spans="2:17" s="33" customFormat="1" ht="25.95" hidden="1" customHeight="1">
      <c r="C158" s="33" t="s">
        <v>70</v>
      </c>
      <c r="E158" s="53">
        <f ca="1">IF(E148="Yes",G34-E157,G34)</f>
        <v>0</v>
      </c>
      <c r="F158" s="53"/>
      <c r="G158" s="53">
        <f>IF(G148="Yes",I34-G157,I34)</f>
        <v>0</v>
      </c>
      <c r="H158" s="53"/>
      <c r="M158" s="109"/>
      <c r="N158" s="109"/>
      <c r="O158" s="109"/>
    </row>
    <row r="159" spans="2:17" s="33" customFormat="1" ht="25.95" hidden="1" customHeight="1">
      <c r="C159" s="33" t="s">
        <v>71</v>
      </c>
      <c r="E159" s="53">
        <f ca="1">IF(E158&lt;0,0,E158)</f>
        <v>0</v>
      </c>
      <c r="F159" s="53"/>
      <c r="G159" s="53">
        <f>IF(G158&lt;0,0,G158)</f>
        <v>0</v>
      </c>
      <c r="H159" s="53"/>
      <c r="M159" s="109"/>
      <c r="N159" s="109"/>
      <c r="O159" s="109"/>
    </row>
    <row r="160" spans="2:17" s="33" customFormat="1" ht="25.95" hidden="1" customHeight="1">
      <c r="M160" s="109"/>
      <c r="N160" s="109"/>
      <c r="O160" s="109"/>
    </row>
    <row r="161" spans="2:15" s="33" customFormat="1" ht="25.95" hidden="1" customHeight="1">
      <c r="B161" s="46" t="s">
        <v>140</v>
      </c>
      <c r="C161" s="33" t="s">
        <v>102</v>
      </c>
      <c r="I161" s="52">
        <f ca="1">E38-E34+I142+E159+G159</f>
        <v>0</v>
      </c>
      <c r="M161" s="109"/>
      <c r="N161" s="109"/>
      <c r="O161" s="109"/>
    </row>
    <row r="162" spans="2:15" s="33" customFormat="1" ht="25.95" hidden="1" customHeight="1">
      <c r="C162" s="46" t="s">
        <v>97</v>
      </c>
      <c r="D162" s="46"/>
      <c r="E162" s="31"/>
      <c r="F162" s="31"/>
      <c r="G162" s="31"/>
      <c r="H162" s="31"/>
      <c r="I162" s="47">
        <f ca="1">I161/26</f>
        <v>0</v>
      </c>
      <c r="M162" s="109"/>
      <c r="N162" s="109"/>
      <c r="O162" s="109"/>
    </row>
    <row r="163" spans="2:15" s="33" customFormat="1" ht="25.95" hidden="1" customHeight="1">
      <c r="C163" s="46"/>
      <c r="D163" s="46"/>
      <c r="E163" s="31"/>
      <c r="F163" s="31"/>
      <c r="G163" s="31"/>
      <c r="H163" s="31"/>
      <c r="I163" s="113"/>
      <c r="M163" s="109"/>
      <c r="N163" s="109"/>
      <c r="O163" s="109"/>
    </row>
    <row r="164" spans="2:15" s="33" customFormat="1" ht="25.95" hidden="1" customHeight="1">
      <c r="B164" s="32" t="s">
        <v>143</v>
      </c>
      <c r="C164" s="115"/>
      <c r="D164" s="46"/>
      <c r="E164" s="31" t="s">
        <v>32</v>
      </c>
      <c r="F164" s="31"/>
      <c r="G164" s="31" t="s">
        <v>87</v>
      </c>
      <c r="H164" s="31"/>
      <c r="I164" s="113"/>
      <c r="M164" s="109"/>
      <c r="N164" s="109"/>
      <c r="O164" s="109"/>
    </row>
    <row r="165" spans="2:15" s="33" customFormat="1" ht="25.95" hidden="1" customHeight="1">
      <c r="C165" s="46" t="s">
        <v>141</v>
      </c>
      <c r="D165" s="46"/>
      <c r="E165" s="52">
        <f ca="1">IF(E105="Single",I161,I161/2)</f>
        <v>0</v>
      </c>
      <c r="F165" s="31"/>
      <c r="G165" s="117">
        <f ca="1">IF(E105="Single","-",I161/2)</f>
        <v>0</v>
      </c>
      <c r="H165" s="31"/>
      <c r="I165" s="113"/>
      <c r="M165" s="109"/>
      <c r="N165" s="109"/>
      <c r="O165" s="109"/>
    </row>
    <row r="166" spans="2:15" s="33" customFormat="1" ht="25.95" hidden="1" customHeight="1">
      <c r="C166" s="46" t="s">
        <v>154</v>
      </c>
      <c r="D166" s="46"/>
      <c r="E166" s="52">
        <f>IF(E105="Single",E63*26,E63*26*0.5)</f>
        <v>4940</v>
      </c>
      <c r="F166" s="31"/>
      <c r="G166" s="117">
        <f>IF(E105="Single","-",E63*26*0.5)</f>
        <v>4940</v>
      </c>
      <c r="H166" s="31"/>
      <c r="I166" s="113"/>
      <c r="M166" s="109"/>
      <c r="N166" s="109"/>
      <c r="O166" s="109"/>
    </row>
    <row r="167" spans="2:15" s="33" customFormat="1" ht="25.95" hidden="1" customHeight="1">
      <c r="C167" s="46" t="s">
        <v>153</v>
      </c>
      <c r="D167" s="46"/>
      <c r="E167" s="52">
        <f>IF(E105="Single",I63*26,I63*26*0.5)</f>
        <v>51142</v>
      </c>
      <c r="F167" s="31"/>
      <c r="G167" s="117">
        <f>IF(E105="Single","-",I63*26*0.5)</f>
        <v>51142</v>
      </c>
      <c r="H167" s="31"/>
      <c r="I167" s="113"/>
      <c r="M167" s="109"/>
      <c r="N167" s="109"/>
      <c r="O167" s="109"/>
    </row>
    <row r="168" spans="2:15" s="33" customFormat="1" ht="25.95" hidden="1" customHeight="1">
      <c r="C168" s="46" t="s">
        <v>142</v>
      </c>
      <c r="D168" s="46"/>
      <c r="E168" s="116" t="str">
        <f ca="1">IF(E165&gt;E166,"Yes","No")</f>
        <v>No</v>
      </c>
      <c r="F168" s="36"/>
      <c r="G168" s="116" t="str">
        <f ca="1">IF(E105="Single","-",IF(G165&gt;G166,"Yes","No"))</f>
        <v>No</v>
      </c>
      <c r="H168" s="31"/>
      <c r="I168" s="113"/>
      <c r="M168" s="109"/>
      <c r="N168" s="109"/>
      <c r="O168" s="109"/>
    </row>
    <row r="169" spans="2:15" s="33" customFormat="1" ht="25.95" hidden="1" customHeight="1">
      <c r="C169" s="46" t="s">
        <v>155</v>
      </c>
      <c r="D169" s="46"/>
      <c r="E169" s="116" t="str">
        <f ca="1">IF(E165&gt;E167,"Yes","No")</f>
        <v>No</v>
      </c>
      <c r="F169" s="36"/>
      <c r="G169" s="116" t="str">
        <f ca="1">IF(E105="Single","-",IF(G165&gt;G167,"Yes","No"))</f>
        <v>No</v>
      </c>
      <c r="H169" s="31"/>
      <c r="I169" s="113"/>
      <c r="M169" s="109"/>
      <c r="N169" s="109"/>
      <c r="O169" s="109"/>
    </row>
    <row r="170" spans="2:15" s="33" customFormat="1" ht="25.95" hidden="1" customHeight="1">
      <c r="C170" s="46" t="s">
        <v>156</v>
      </c>
      <c r="D170" s="46"/>
      <c r="E170" s="123" t="str">
        <f ca="1">IF(AND(E118="Yes",E169="No"),"Yes","No")</f>
        <v>Yes</v>
      </c>
      <c r="F170" s="36"/>
      <c r="G170" s="123" t="str">
        <f ca="1">IF(E105="Single","-",IF(AND(E129="Yes",G169="No"),"Yes","No"))</f>
        <v>No</v>
      </c>
      <c r="H170" s="31"/>
      <c r="I170" s="113"/>
      <c r="M170" s="109"/>
      <c r="N170" s="109"/>
      <c r="O170" s="109"/>
    </row>
    <row r="171" spans="2:15" s="33" customFormat="1" ht="25.95" hidden="1" customHeight="1">
      <c r="C171" s="46"/>
      <c r="D171" s="46"/>
      <c r="E171" s="116"/>
      <c r="F171" s="36"/>
      <c r="G171" s="116"/>
      <c r="H171" s="31"/>
      <c r="I171" s="113"/>
      <c r="M171" s="109"/>
      <c r="N171" s="109"/>
      <c r="O171" s="109"/>
    </row>
    <row r="172" spans="2:15" s="33" customFormat="1" ht="25.95" hidden="1" customHeight="1">
      <c r="C172" s="46" t="s">
        <v>144</v>
      </c>
      <c r="D172" s="46"/>
      <c r="E172" s="52">
        <f ca="1">IF(E168="No",0,E165-E166)</f>
        <v>0</v>
      </c>
      <c r="F172" s="31"/>
      <c r="G172" s="52">
        <f ca="1">IF(E105="Single","-",IF(G168="No",0,G165-G166))</f>
        <v>0</v>
      </c>
      <c r="H172" s="31"/>
      <c r="I172" s="113"/>
      <c r="M172" s="109"/>
      <c r="N172" s="109"/>
      <c r="O172" s="109"/>
    </row>
    <row r="173" spans="2:15" s="33" customFormat="1" ht="25.95" hidden="1" customHeight="1">
      <c r="C173" s="46" t="s">
        <v>150</v>
      </c>
      <c r="D173" s="46"/>
      <c r="E173" s="52">
        <f ca="1">E172*0.5</f>
        <v>0</v>
      </c>
      <c r="F173" s="31"/>
      <c r="G173" s="52">
        <f ca="1">IF(E105="Single","-",G172*0.5)</f>
        <v>0</v>
      </c>
      <c r="H173" s="31"/>
      <c r="I173" s="113"/>
      <c r="M173" s="109"/>
      <c r="N173" s="109"/>
      <c r="O173" s="109"/>
    </row>
    <row r="174" spans="2:15" s="33" customFormat="1" ht="25.95" hidden="1" customHeight="1">
      <c r="C174" s="46" t="s">
        <v>151</v>
      </c>
      <c r="D174" s="46"/>
      <c r="E174" s="52">
        <f ca="1">(E136*26)-E173</f>
        <v>23101</v>
      </c>
      <c r="F174" s="31"/>
      <c r="G174" s="52">
        <f ca="1">IF(E105="Single","-",(G136*26)-G173)</f>
        <v>23101</v>
      </c>
      <c r="H174" s="31"/>
      <c r="I174" s="113"/>
      <c r="M174" s="109"/>
      <c r="N174" s="109"/>
      <c r="O174" s="109"/>
    </row>
    <row r="175" spans="2:15" s="33" customFormat="1" ht="25.95" hidden="1" customHeight="1">
      <c r="C175" s="46" t="s">
        <v>152</v>
      </c>
      <c r="D175" s="46"/>
      <c r="E175" s="122">
        <f ca="1">E174/26</f>
        <v>888.5</v>
      </c>
      <c r="F175" s="31"/>
      <c r="G175" s="122">
        <f ca="1">IF(E105="Single","-",G174/26)</f>
        <v>888.5</v>
      </c>
      <c r="H175" s="31"/>
      <c r="I175" s="113"/>
      <c r="M175" s="109"/>
      <c r="N175" s="109"/>
      <c r="O175" s="109"/>
    </row>
    <row r="176" spans="2:15" s="33" customFormat="1" ht="25.95" hidden="1" customHeight="1">
      <c r="C176" s="125" t="s">
        <v>54</v>
      </c>
      <c r="D176" s="125"/>
      <c r="E176" s="126">
        <f ca="1">IF(E170="Yes",E175,0)</f>
        <v>888.5</v>
      </c>
      <c r="F176" s="125"/>
      <c r="G176" s="126">
        <f ca="1">IF(G170="Yes",G175,0)</f>
        <v>0</v>
      </c>
      <c r="H176" s="44"/>
      <c r="I176" s="113">
        <f ca="1">E176+G176</f>
        <v>888.5</v>
      </c>
      <c r="M176" s="109"/>
      <c r="N176" s="109"/>
      <c r="O176" s="109"/>
    </row>
    <row r="177" spans="2:15" s="33" customFormat="1" ht="25.95" hidden="1" customHeight="1">
      <c r="M177" s="109"/>
      <c r="N177" s="109"/>
      <c r="O177" s="109"/>
    </row>
    <row r="178" spans="2:15" s="33" customFormat="1" ht="25.95" hidden="1" customHeight="1">
      <c r="B178" s="32" t="s">
        <v>157</v>
      </c>
      <c r="C178" s="32"/>
      <c r="E178" s="31" t="s">
        <v>32</v>
      </c>
      <c r="F178" s="31"/>
      <c r="G178" s="31" t="s">
        <v>63</v>
      </c>
      <c r="H178" s="31"/>
      <c r="I178" s="31" t="s">
        <v>69</v>
      </c>
      <c r="M178" s="109"/>
      <c r="N178" s="109"/>
      <c r="O178" s="109"/>
    </row>
    <row r="179" spans="2:15" s="33" customFormat="1" ht="25.95" hidden="1" customHeight="1">
      <c r="C179" s="33" t="s">
        <v>134</v>
      </c>
      <c r="E179" s="31"/>
      <c r="F179" s="31"/>
      <c r="G179" s="31"/>
      <c r="H179" s="31"/>
      <c r="I179" s="110">
        <f>E21+E31-E29</f>
        <v>0</v>
      </c>
      <c r="M179" s="109"/>
      <c r="N179" s="109"/>
      <c r="O179" s="109"/>
    </row>
    <row r="180" spans="2:15" s="33" customFormat="1" ht="25.95" hidden="1" customHeight="1">
      <c r="C180" s="33" t="s">
        <v>135</v>
      </c>
      <c r="E180" s="110">
        <f ca="1">IF(E118="Yes",G29,0)</f>
        <v>0</v>
      </c>
      <c r="F180" s="31"/>
      <c r="G180" s="110">
        <f>IF(E129="Yes",I29,0)</f>
        <v>0</v>
      </c>
      <c r="H180" s="31"/>
      <c r="I180" s="110">
        <f ca="1">E180+G180</f>
        <v>0</v>
      </c>
      <c r="M180" s="109"/>
      <c r="N180" s="109"/>
      <c r="O180" s="109"/>
    </row>
    <row r="181" spans="2:15" s="33" customFormat="1" ht="25.95" hidden="1" customHeight="1">
      <c r="C181" s="33" t="s">
        <v>136</v>
      </c>
      <c r="E181" s="31"/>
      <c r="F181" s="31"/>
      <c r="G181" s="31"/>
      <c r="H181" s="31"/>
      <c r="I181" s="111">
        <f ca="1">I179+I180</f>
        <v>0</v>
      </c>
      <c r="M181" s="109"/>
      <c r="N181" s="109"/>
      <c r="O181" s="109"/>
    </row>
    <row r="182" spans="2:15" s="33" customFormat="1" ht="25.95" hidden="1" customHeight="1">
      <c r="C182" s="46" t="s">
        <v>158</v>
      </c>
      <c r="E182" s="52">
        <f ca="1">IF(E105="Single",I181,I181/2)</f>
        <v>0</v>
      </c>
      <c r="F182" s="31"/>
      <c r="G182" s="117">
        <f ca="1">IF(E105="Single","-",I181/2)</f>
        <v>0</v>
      </c>
      <c r="H182" s="31"/>
      <c r="I182" s="112"/>
      <c r="M182" s="109"/>
      <c r="N182" s="109"/>
      <c r="O182" s="109"/>
    </row>
    <row r="183" spans="2:15" s="33" customFormat="1" ht="25.95" hidden="1" customHeight="1">
      <c r="C183" s="46" t="s">
        <v>165</v>
      </c>
      <c r="E183" s="52">
        <f>IF(E105="Single",E67,E67*0.5)</f>
        <v>240750</v>
      </c>
      <c r="F183" s="31"/>
      <c r="G183" s="117">
        <f>IF(E105="Single","-",E67*0.5)</f>
        <v>240750</v>
      </c>
      <c r="H183" s="31"/>
      <c r="I183" s="112"/>
      <c r="M183" s="109"/>
      <c r="N183" s="109"/>
      <c r="O183" s="109"/>
    </row>
    <row r="184" spans="2:15" s="33" customFormat="1" ht="25.95" hidden="1" customHeight="1">
      <c r="C184" s="46" t="s">
        <v>159</v>
      </c>
      <c r="E184" s="52">
        <f>IF(E105="Single",I67,I67*0.5)</f>
        <v>537000</v>
      </c>
      <c r="F184" s="31"/>
      <c r="G184" s="117">
        <f>IF(E105="Single","-",I67*0.5)</f>
        <v>537000</v>
      </c>
      <c r="H184" s="31"/>
      <c r="I184" s="112"/>
      <c r="M184" s="109"/>
      <c r="N184" s="109"/>
      <c r="O184" s="109"/>
    </row>
    <row r="185" spans="2:15" s="33" customFormat="1" ht="25.95" hidden="1" customHeight="1">
      <c r="C185" s="46" t="s">
        <v>160</v>
      </c>
      <c r="E185" s="116" t="str">
        <f ca="1">IF(E182&gt;E183,"Yes","No")</f>
        <v>No</v>
      </c>
      <c r="F185" s="36"/>
      <c r="G185" s="116" t="str">
        <f ca="1">IF(E105="Single","-",IF(G182&gt;G183,"Yes","No"))</f>
        <v>No</v>
      </c>
      <c r="H185" s="31"/>
      <c r="I185" s="112"/>
      <c r="M185" s="109"/>
      <c r="N185" s="109"/>
      <c r="O185" s="109"/>
    </row>
    <row r="186" spans="2:15" s="33" customFormat="1" ht="25.95" hidden="1" customHeight="1">
      <c r="C186" s="46" t="s">
        <v>161</v>
      </c>
      <c r="E186" s="116" t="str">
        <f ca="1">IF(E182&gt;E184,"Yes","No")</f>
        <v>No</v>
      </c>
      <c r="F186" s="36"/>
      <c r="G186" s="116" t="str">
        <f ca="1">IF(E105="Single","-",IF(G182&gt;G184,"Yes","No"))</f>
        <v>No</v>
      </c>
      <c r="H186" s="31"/>
      <c r="I186" s="112"/>
      <c r="M186" s="109"/>
      <c r="N186" s="109"/>
      <c r="O186" s="109"/>
    </row>
    <row r="187" spans="2:15" s="33" customFormat="1" ht="25.95" hidden="1" customHeight="1">
      <c r="C187" s="46" t="s">
        <v>156</v>
      </c>
      <c r="E187" s="123" t="str">
        <f ca="1">IF(AND(E118="Yes",E186="No"),"Yes","No")</f>
        <v>Yes</v>
      </c>
      <c r="F187" s="36"/>
      <c r="G187" s="123" t="str">
        <f ca="1">IF(E105="Single","-",IF(AND(E129="Yes",G186="No"),"Yes","No"))</f>
        <v>No</v>
      </c>
      <c r="H187" s="31"/>
      <c r="I187" s="112"/>
      <c r="M187" s="109"/>
      <c r="N187" s="109"/>
      <c r="O187" s="109"/>
    </row>
    <row r="188" spans="2:15" s="33" customFormat="1" ht="25.95" hidden="1" customHeight="1">
      <c r="C188" s="46"/>
      <c r="E188" s="116"/>
      <c r="F188" s="36"/>
      <c r="G188" s="116"/>
      <c r="H188" s="31"/>
      <c r="I188" s="112"/>
      <c r="M188" s="109"/>
      <c r="N188" s="109"/>
      <c r="O188" s="109"/>
    </row>
    <row r="189" spans="2:15" s="33" customFormat="1" ht="25.95" hidden="1" customHeight="1">
      <c r="C189" s="46" t="s">
        <v>162</v>
      </c>
      <c r="E189" s="52">
        <f ca="1">IF(E185="No",0,E182-E183)</f>
        <v>0</v>
      </c>
      <c r="F189" s="31"/>
      <c r="G189" s="52">
        <f ca="1">IF(E105="Single","-",IF(G185="No",0,G182-G183))</f>
        <v>0</v>
      </c>
      <c r="H189" s="31"/>
      <c r="I189" s="112"/>
      <c r="M189" s="109"/>
      <c r="N189" s="109"/>
      <c r="O189" s="109"/>
    </row>
    <row r="190" spans="2:15" s="33" customFormat="1" ht="25.95" hidden="1" customHeight="1">
      <c r="C190" s="46" t="s">
        <v>163</v>
      </c>
      <c r="E190" s="52">
        <f ca="1">E189*0.003</f>
        <v>0</v>
      </c>
      <c r="F190" s="31"/>
      <c r="G190" s="52">
        <f ca="1">IF(E105="Single","-",G189*0.003)</f>
        <v>0</v>
      </c>
      <c r="H190" s="31"/>
      <c r="I190" s="112"/>
      <c r="M190" s="109"/>
      <c r="N190" s="109"/>
      <c r="O190" s="109"/>
    </row>
    <row r="191" spans="2:15" s="33" customFormat="1" ht="25.95" hidden="1" customHeight="1">
      <c r="C191" s="46" t="s">
        <v>164</v>
      </c>
      <c r="E191" s="132">
        <f ca="1">E136-E190</f>
        <v>888.5</v>
      </c>
      <c r="F191" s="31"/>
      <c r="G191" s="132">
        <f ca="1">IF(E105="Single","-",G136-G190)</f>
        <v>888.5</v>
      </c>
      <c r="H191" s="31"/>
      <c r="I191" s="112"/>
      <c r="M191" s="109"/>
      <c r="N191" s="109"/>
      <c r="O191" s="109"/>
    </row>
    <row r="192" spans="2:15" s="33" customFormat="1" ht="25.95" hidden="1" customHeight="1">
      <c r="C192" s="125" t="s">
        <v>58</v>
      </c>
      <c r="D192" s="125"/>
      <c r="E192" s="126">
        <f ca="1">IF(E187="Yes",E191,0)</f>
        <v>888.5</v>
      </c>
      <c r="F192" s="125"/>
      <c r="G192" s="126">
        <f ca="1">IF(G187="Yes",G191,0)</f>
        <v>0</v>
      </c>
      <c r="H192" s="31"/>
      <c r="I192" s="112">
        <f ca="1">E192+G192</f>
        <v>888.5</v>
      </c>
      <c r="M192" s="109"/>
      <c r="N192" s="109"/>
      <c r="O192" s="109"/>
    </row>
    <row r="193" spans="2:15" s="33" customFormat="1" ht="25.95" hidden="1" customHeight="1">
      <c r="E193" s="31"/>
      <c r="F193" s="31"/>
      <c r="G193" s="31"/>
      <c r="H193" s="31"/>
      <c r="I193" s="112"/>
      <c r="M193" s="109"/>
      <c r="N193" s="109"/>
      <c r="O193" s="109"/>
    </row>
    <row r="194" spans="2:15" s="33" customFormat="1" ht="25.95" hidden="1" customHeight="1">
      <c r="B194" s="32" t="s">
        <v>59</v>
      </c>
      <c r="C194" s="32"/>
      <c r="D194" s="32"/>
      <c r="M194" s="109"/>
      <c r="N194" s="109"/>
      <c r="O194" s="109"/>
    </row>
    <row r="195" spans="2:15" s="33" customFormat="1" ht="25.95" hidden="1" customHeight="1">
      <c r="E195" s="33" t="s">
        <v>32</v>
      </c>
      <c r="G195" s="33" t="s">
        <v>87</v>
      </c>
      <c r="M195" s="109"/>
      <c r="N195" s="109"/>
      <c r="O195" s="109"/>
    </row>
    <row r="196" spans="2:15" s="33" customFormat="1" ht="25.95" hidden="1" customHeight="1">
      <c r="C196" s="33" t="s">
        <v>105</v>
      </c>
      <c r="E196" s="54" t="str">
        <f ca="1">IF(AND(E118="Yes",AND(E170="Yes",E187="Yes")),"Yes","No")</f>
        <v>Yes</v>
      </c>
      <c r="F196" s="43"/>
      <c r="G196" s="54" t="str">
        <f ca="1">IF(E105="Single","-",IF(AND(E129="Yes",AND(G170="Yes",G187="Yes")),"Yes","No"))</f>
        <v>No</v>
      </c>
      <c r="H196" s="43"/>
      <c r="M196" s="109"/>
      <c r="N196" s="109"/>
      <c r="O196" s="109"/>
    </row>
    <row r="197" spans="2:15" s="33" customFormat="1" ht="25.95" hidden="1" customHeight="1">
      <c r="C197" s="33" t="s">
        <v>103</v>
      </c>
      <c r="E197" s="47">
        <f ca="1">IF(E192&lt;E176,E192,E176)</f>
        <v>888.5</v>
      </c>
      <c r="G197" s="47">
        <f ca="1">IF(G192&lt;G176,G192,G176)</f>
        <v>0</v>
      </c>
      <c r="O197" s="109"/>
    </row>
    <row r="198" spans="2:15" s="33" customFormat="1" ht="25.95" hidden="1" customHeight="1">
      <c r="C198" s="33" t="s">
        <v>106</v>
      </c>
      <c r="E198" s="47">
        <f ca="1">IF(E196="yes",E197,0)</f>
        <v>888.5</v>
      </c>
      <c r="F198" s="47"/>
      <c r="G198" s="47">
        <f ca="1">IF(G196="yes",G197,0)</f>
        <v>0</v>
      </c>
      <c r="H198" s="47"/>
      <c r="M198" s="109"/>
      <c r="N198" s="109"/>
      <c r="O198" s="109"/>
    </row>
    <row r="199" spans="2:15" s="33" customFormat="1" ht="25.95" hidden="1" customHeight="1">
      <c r="M199" s="109"/>
      <c r="N199" s="109"/>
      <c r="O199" s="109"/>
    </row>
    <row r="200" spans="2:15" s="33" customFormat="1" ht="25.95" hidden="1" customHeight="1">
      <c r="C200" s="33" t="s">
        <v>107</v>
      </c>
      <c r="M200" s="109"/>
      <c r="N200" s="109"/>
      <c r="O200" s="109"/>
    </row>
    <row r="201" spans="2:15" s="33" customFormat="1" ht="25.95" hidden="1" customHeight="1">
      <c r="B201" s="147" t="s">
        <v>108</v>
      </c>
      <c r="C201" s="189" t="s">
        <v>193</v>
      </c>
      <c r="D201" s="189"/>
      <c r="E201" s="189"/>
      <c r="G201" s="148">
        <f ca="1">E198</f>
        <v>888.5</v>
      </c>
      <c r="M201" s="109"/>
      <c r="N201" s="109"/>
      <c r="O201" s="109"/>
    </row>
    <row r="202" spans="2:15" s="33" customFormat="1" ht="25.95" hidden="1" customHeight="1">
      <c r="B202" s="46" t="s">
        <v>109</v>
      </c>
      <c r="C202" s="33" t="s">
        <v>60</v>
      </c>
      <c r="G202" s="149" t="s">
        <v>194</v>
      </c>
      <c r="M202" s="109"/>
      <c r="N202" s="109"/>
      <c r="O202" s="109"/>
    </row>
    <row r="203" spans="2:15" s="146" customFormat="1" ht="25.95" hidden="1" customHeight="1">
      <c r="B203" s="147" t="s">
        <v>110</v>
      </c>
      <c r="C203" s="189" t="s">
        <v>195</v>
      </c>
      <c r="D203" s="189"/>
      <c r="E203" s="189"/>
      <c r="G203" s="148">
        <f ca="1">G198</f>
        <v>0</v>
      </c>
      <c r="M203" s="150"/>
      <c r="N203" s="150"/>
      <c r="O203" s="150"/>
    </row>
    <row r="204" spans="2:15" s="33" customFormat="1" ht="25.95" hidden="1" customHeight="1">
      <c r="B204" s="46" t="s">
        <v>111</v>
      </c>
      <c r="C204" s="33" t="s">
        <v>112</v>
      </c>
      <c r="G204" s="149" t="s">
        <v>194</v>
      </c>
      <c r="M204" s="109"/>
      <c r="N204" s="109"/>
      <c r="O204" s="109"/>
    </row>
    <row r="205" spans="2:15" s="33" customFormat="1" ht="25.95" hidden="1" customHeight="1">
      <c r="M205" s="109"/>
      <c r="N205" s="109"/>
      <c r="O205" s="109"/>
    </row>
    <row r="206" spans="2:15" s="33" customFormat="1" ht="25.95" hidden="1" customHeight="1">
      <c r="B206" s="46" t="s">
        <v>113</v>
      </c>
      <c r="M206" s="109"/>
      <c r="N206" s="109"/>
      <c r="O206" s="109"/>
    </row>
    <row r="207" spans="2:15" s="146" customFormat="1" ht="25.95" hidden="1" customHeight="1">
      <c r="B207" s="147" t="s">
        <v>32</v>
      </c>
      <c r="C207" s="189" t="str">
        <f ca="1">IF(E196="Yes",C201,C202)</f>
        <v>You are eligible to receive the Age Pension, at a value of approximately:
(per fortnight, including Pension and Energy Supplement)</v>
      </c>
      <c r="D207" s="189"/>
      <c r="E207" s="189"/>
      <c r="G207" s="148">
        <f ca="1">IF(E196="Yes",G201,G202)</f>
        <v>888.5</v>
      </c>
      <c r="M207" s="150"/>
      <c r="N207" s="150"/>
      <c r="O207" s="150"/>
    </row>
    <row r="208" spans="2:15" s="146" customFormat="1" ht="25.95" hidden="1" customHeight="1">
      <c r="B208" s="147" t="s">
        <v>87</v>
      </c>
      <c r="C208" s="189" t="str">
        <f ca="1">IF(G196="Yes",C203,C204)</f>
        <v>Your partner is currently not eligible to receive the Age Pension</v>
      </c>
      <c r="D208" s="189"/>
      <c r="E208" s="189"/>
      <c r="G208" s="148" t="str">
        <f ca="1">IF(G196="Yes",G203,G204)</f>
        <v xml:space="preserve">  </v>
      </c>
      <c r="M208" s="150"/>
      <c r="N208" s="150"/>
      <c r="O208" s="150"/>
    </row>
    <row r="209" spans="14:15" ht="25.95" hidden="1" customHeight="1">
      <c r="N209" s="58"/>
      <c r="O209" s="58"/>
    </row>
    <row r="210" spans="14:15" ht="25.95" customHeight="1">
      <c r="N210" s="58"/>
      <c r="O210" s="58"/>
    </row>
    <row r="211" spans="14:15" ht="18" customHeight="1">
      <c r="N211" s="58"/>
      <c r="O211" s="58"/>
    </row>
    <row r="212" spans="14:15" ht="18" customHeight="1">
      <c r="N212" s="58"/>
      <c r="O212" s="58"/>
    </row>
    <row r="213" spans="14:15" ht="18" customHeight="1">
      <c r="N213" s="58"/>
      <c r="O213" s="58"/>
    </row>
    <row r="214" spans="14:15" ht="18" customHeight="1">
      <c r="N214" s="58"/>
      <c r="O214" s="58"/>
    </row>
    <row r="215" spans="14:15">
      <c r="N215" s="58"/>
      <c r="O215" s="58"/>
    </row>
    <row r="216" spans="14:15">
      <c r="N216" s="58"/>
      <c r="O216" s="58"/>
    </row>
    <row r="217" spans="14:15">
      <c r="N217" s="58"/>
      <c r="O217" s="58"/>
    </row>
    <row r="218" spans="14:15">
      <c r="N218" s="58"/>
      <c r="O218" s="58"/>
    </row>
    <row r="219" spans="14:15">
      <c r="N219" s="58"/>
      <c r="O219" s="58"/>
    </row>
    <row r="220" spans="14:15">
      <c r="N220" s="58"/>
      <c r="O220" s="58"/>
    </row>
    <row r="221" spans="14:15">
      <c r="N221" s="58"/>
      <c r="O221" s="58"/>
    </row>
    <row r="222" spans="14:15">
      <c r="N222" s="58"/>
      <c r="O222" s="58"/>
    </row>
    <row r="223" spans="14:15">
      <c r="N223" s="58"/>
      <c r="O223" s="58"/>
    </row>
    <row r="224" spans="14:15">
      <c r="N224" s="58"/>
      <c r="O224" s="58"/>
    </row>
    <row r="225" spans="14:15">
      <c r="N225" s="58"/>
      <c r="O225" s="58"/>
    </row>
    <row r="226" spans="14:15">
      <c r="N226" s="58"/>
      <c r="O226" s="58"/>
    </row>
    <row r="227" spans="14:15">
      <c r="N227" s="58"/>
      <c r="O227" s="58"/>
    </row>
    <row r="228" spans="14:15">
      <c r="N228" s="58"/>
      <c r="O228" s="58"/>
    </row>
    <row r="229" spans="14:15">
      <c r="N229" s="58"/>
      <c r="O229" s="58"/>
    </row>
    <row r="230" spans="14:15">
      <c r="N230" s="58"/>
      <c r="O230" s="58"/>
    </row>
    <row r="231" spans="14:15">
      <c r="N231" s="58"/>
      <c r="O231" s="58"/>
    </row>
    <row r="232" spans="14:15">
      <c r="N232" s="58"/>
      <c r="O232" s="58"/>
    </row>
    <row r="233" spans="14:15">
      <c r="N233" s="58"/>
      <c r="O233" s="58"/>
    </row>
    <row r="234" spans="14:15">
      <c r="N234" s="58"/>
      <c r="O234" s="58"/>
    </row>
    <row r="235" spans="14:15">
      <c r="N235" s="58"/>
      <c r="O235" s="58"/>
    </row>
    <row r="236" spans="14:15">
      <c r="N236" s="58"/>
      <c r="O236" s="58"/>
    </row>
    <row r="237" spans="14:15">
      <c r="N237" s="58"/>
      <c r="O237" s="58"/>
    </row>
    <row r="238" spans="14:15">
      <c r="N238" s="58"/>
      <c r="O238" s="58"/>
    </row>
    <row r="239" spans="14:15">
      <c r="N239" s="58"/>
      <c r="O239" s="58"/>
    </row>
    <row r="240" spans="14:15">
      <c r="N240" s="58"/>
      <c r="O240" s="58"/>
    </row>
    <row r="241" spans="14:15">
      <c r="N241" s="58"/>
      <c r="O241" s="58"/>
    </row>
    <row r="242" spans="14:15">
      <c r="N242" s="58"/>
      <c r="O242" s="58"/>
    </row>
    <row r="243" spans="14:15">
      <c r="N243" s="58"/>
      <c r="O243" s="58"/>
    </row>
    <row r="244" spans="14:15">
      <c r="N244" s="58"/>
      <c r="O244" s="58"/>
    </row>
  </sheetData>
  <sheetProtection algorithmName="SHA-512" hashValue="waiMoRfiXl188oaPSSxNh7EA5jhTjXxWqTI0/RBeMbbVe2ezjtHDXaGZwNt3qkOKhdF68MSwV5KDE4CzeEx3Lg==" saltValue="ppd9ISZIwFJe8r9gMpdrpQ==" spinCount="100000" sheet="1" selectLockedCells="1"/>
  <mergeCells count="28">
    <mergeCell ref="C42:I42"/>
    <mergeCell ref="C43:I43"/>
    <mergeCell ref="C46:I46"/>
    <mergeCell ref="C49:I49"/>
    <mergeCell ref="I44:J44"/>
    <mergeCell ref="C44:E44"/>
    <mergeCell ref="C207:E207"/>
    <mergeCell ref="C208:E208"/>
    <mergeCell ref="C51:E51"/>
    <mergeCell ref="E127:I127"/>
    <mergeCell ref="E128:I128"/>
    <mergeCell ref="E130:I130"/>
    <mergeCell ref="E119:I119"/>
    <mergeCell ref="E126:I126"/>
    <mergeCell ref="E150:I150"/>
    <mergeCell ref="C53:I53"/>
    <mergeCell ref="E116:I116"/>
    <mergeCell ref="E117:I117"/>
    <mergeCell ref="E115:I115"/>
    <mergeCell ref="I51:J51"/>
    <mergeCell ref="D58:F58"/>
    <mergeCell ref="D59:F59"/>
    <mergeCell ref="M150:Q150"/>
    <mergeCell ref="C45:I45"/>
    <mergeCell ref="C52:I52"/>
    <mergeCell ref="C201:E201"/>
    <mergeCell ref="C203:E203"/>
    <mergeCell ref="C50:I50"/>
  </mergeCells>
  <phoneticPr fontId="8" type="noConversion"/>
  <pageMargins left="0.74803149606299213" right="0.74803149606299213" top="0.98425196850393704" bottom="0.98425196850393704" header="0.51181102362204722" footer="0.51181102362204722"/>
  <pageSetup paperSize="9" scale="49" fitToHeight="0" orientation="portrait" horizontalDpi="4294967292" verticalDpi="4294967292"/>
  <rowBreaks count="1" manualBreakCount="1">
    <brk id="54" max="16383" man="1"/>
  </rowBreaks>
  <colBreaks count="1" manualBreakCount="1">
    <brk id="14" max="1048575" man="1"/>
  </colBreaks>
  <drawing r:id="rId1"/>
  <legacyDrawing r:id="rId2"/>
  <mc:AlternateContent xmlns:mc="http://schemas.openxmlformats.org/markup-compatibility/2006">
    <mc:Choice Requires="x14">
      <controls>
        <mc:AlternateContent xmlns:mc="http://schemas.openxmlformats.org/markup-compatibility/2006">
          <mc:Choice Requires="x14">
            <control shapeId="2060" r:id="rId3" name="Drop Down 16">
              <controlPr locked="0" defaultSize="0" autoLine="0" autoPict="0">
                <anchor moveWithCells="1">
                  <from>
                    <xdr:col>4</xdr:col>
                    <xdr:colOff>60960</xdr:colOff>
                    <xdr:row>8</xdr:row>
                    <xdr:rowOff>60960</xdr:rowOff>
                  </from>
                  <to>
                    <xdr:col>6</xdr:col>
                    <xdr:colOff>1127760</xdr:colOff>
                    <xdr:row>8</xdr:row>
                    <xdr:rowOff>304800</xdr:rowOff>
                  </to>
                </anchor>
              </controlPr>
            </control>
          </mc:Choice>
        </mc:AlternateContent>
        <mc:AlternateContent xmlns:mc="http://schemas.openxmlformats.org/markup-compatibility/2006">
          <mc:Choice Requires="x14">
            <control shapeId="2061" r:id="rId4" name="Drop Down 13">
              <controlPr locked="0" defaultSize="0" autoLine="0" autoPict="0">
                <anchor moveWithCells="1">
                  <from>
                    <xdr:col>4</xdr:col>
                    <xdr:colOff>60960</xdr:colOff>
                    <xdr:row>9</xdr:row>
                    <xdr:rowOff>22860</xdr:rowOff>
                  </from>
                  <to>
                    <xdr:col>6</xdr:col>
                    <xdr:colOff>1127760</xdr:colOff>
                    <xdr:row>9</xdr:row>
                    <xdr:rowOff>266700</xdr:rowOff>
                  </to>
                </anchor>
              </controlPr>
            </control>
          </mc:Choice>
        </mc:AlternateContent>
      </controls>
    </mc:Choice>
  </mc:AlternateContent>
  <extLst>
    <ext xmlns:mx="http://schemas.microsoft.com/office/mac/excel/2008/main" uri="{64002731-A6B0-56B0-2670-7721B7C09600}">
      <mx:PLV Mode="0" OnePage="0" WScale="43"/>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59"/>
  <sheetViews>
    <sheetView zoomScale="90" zoomScaleNormal="90" zoomScalePageLayoutView="87" workbookViewId="0">
      <selection activeCell="K47" sqref="K47"/>
    </sheetView>
  </sheetViews>
  <sheetFormatPr defaultColWidth="11" defaultRowHeight="15.6"/>
  <cols>
    <col min="1" max="1" width="6.69921875" customWidth="1"/>
    <col min="2" max="2" width="12.5" customWidth="1"/>
    <col min="3" max="4" width="20.19921875" customWidth="1"/>
    <col min="5" max="5" width="33" customWidth="1"/>
    <col min="6" max="8" width="20.19921875" customWidth="1"/>
    <col min="9" max="9" width="14" customWidth="1"/>
    <col min="10" max="10" width="22.5" customWidth="1"/>
    <col min="11" max="11" width="17.19921875" customWidth="1"/>
  </cols>
  <sheetData>
    <row r="1" spans="1:11">
      <c r="A1" s="14"/>
      <c r="B1" s="14"/>
      <c r="C1" s="14"/>
      <c r="D1" s="14"/>
      <c r="E1" s="14"/>
      <c r="F1" s="14"/>
      <c r="G1" s="14"/>
      <c r="H1" s="14"/>
      <c r="I1" s="14"/>
      <c r="J1" s="14"/>
      <c r="K1" s="164"/>
    </row>
    <row r="2" spans="1:11" ht="28.95" customHeight="1">
      <c r="A2" s="14"/>
      <c r="B2" s="14"/>
      <c r="C2" s="138" t="s">
        <v>179</v>
      </c>
      <c r="D2" s="179" t="s">
        <v>222</v>
      </c>
      <c r="E2" s="14"/>
      <c r="F2" s="14"/>
      <c r="G2" s="14"/>
      <c r="H2" s="14"/>
      <c r="I2" s="14"/>
      <c r="J2" s="14"/>
      <c r="K2" s="164"/>
    </row>
    <row r="3" spans="1:11">
      <c r="A3" s="14"/>
      <c r="B3" s="14"/>
      <c r="C3" s="14"/>
      <c r="D3" s="14"/>
      <c r="E3" s="14"/>
      <c r="F3" s="14"/>
      <c r="G3" s="14"/>
      <c r="H3" s="14"/>
      <c r="I3" s="14"/>
      <c r="J3" s="14"/>
      <c r="K3" s="164"/>
    </row>
    <row r="4" spans="1:11" ht="27" customHeight="1">
      <c r="A4" s="14"/>
      <c r="B4" s="27" t="s">
        <v>223</v>
      </c>
      <c r="C4" s="14"/>
      <c r="D4" s="14"/>
      <c r="E4" s="14"/>
      <c r="F4" s="14"/>
      <c r="G4" s="14"/>
      <c r="H4" s="14"/>
      <c r="I4" s="14"/>
      <c r="J4" s="14"/>
      <c r="K4" s="164"/>
    </row>
    <row r="5" spans="1:11" ht="21">
      <c r="A5" s="15" t="s">
        <v>40</v>
      </c>
      <c r="B5" s="14"/>
      <c r="C5" s="1" t="s">
        <v>3</v>
      </c>
      <c r="D5" s="1" t="s">
        <v>4</v>
      </c>
      <c r="E5" s="1" t="s">
        <v>10</v>
      </c>
      <c r="F5" s="14"/>
      <c r="G5" s="14"/>
      <c r="H5" s="14"/>
      <c r="I5" s="14"/>
      <c r="J5" s="14"/>
      <c r="K5" s="164"/>
    </row>
    <row r="6" spans="1:11" ht="21">
      <c r="A6" s="15" t="s">
        <v>41</v>
      </c>
      <c r="B6" s="19" t="s">
        <v>52</v>
      </c>
      <c r="C6" s="18">
        <v>64200</v>
      </c>
      <c r="D6" s="18">
        <v>106200</v>
      </c>
      <c r="E6" s="2">
        <v>7.4999999999999997E-3</v>
      </c>
      <c r="F6" s="175" t="s">
        <v>224</v>
      </c>
      <c r="G6" s="14"/>
      <c r="H6" s="14"/>
      <c r="I6" s="14"/>
      <c r="J6" s="14"/>
      <c r="K6" s="165"/>
    </row>
    <row r="7" spans="1:11" ht="21">
      <c r="A7" s="15" t="s">
        <v>42</v>
      </c>
      <c r="B7" s="19" t="s">
        <v>53</v>
      </c>
      <c r="C7" s="18">
        <v>64200</v>
      </c>
      <c r="D7" s="18">
        <v>106200</v>
      </c>
      <c r="E7" s="2">
        <v>2.75E-2</v>
      </c>
      <c r="F7" s="175" t="s">
        <v>224</v>
      </c>
      <c r="G7" s="14"/>
      <c r="H7" s="14"/>
      <c r="I7" s="14"/>
      <c r="J7" s="14"/>
      <c r="K7" s="165"/>
    </row>
    <row r="8" spans="1:11" ht="21">
      <c r="A8" s="15" t="s">
        <v>41</v>
      </c>
      <c r="B8" s="14"/>
      <c r="C8" s="14"/>
      <c r="D8" s="14"/>
      <c r="E8" s="14"/>
      <c r="F8" s="14"/>
      <c r="G8" s="14"/>
      <c r="H8" s="14"/>
      <c r="I8" s="14"/>
      <c r="J8" s="14"/>
      <c r="K8" s="165"/>
    </row>
    <row r="9" spans="1:11" s="158" customFormat="1" ht="21" customHeight="1">
      <c r="A9" s="157"/>
      <c r="B9" s="157" t="s">
        <v>230</v>
      </c>
      <c r="C9" s="157"/>
      <c r="D9" s="157"/>
      <c r="E9" s="157"/>
      <c r="F9" s="157"/>
      <c r="G9" s="157"/>
      <c r="H9" s="157"/>
      <c r="I9" s="157"/>
      <c r="J9" s="157"/>
      <c r="K9" s="164"/>
    </row>
    <row r="10" spans="1:11" ht="31.2">
      <c r="A10" s="14"/>
      <c r="B10" s="14"/>
      <c r="C10" s="3"/>
      <c r="D10" s="3" t="s">
        <v>50</v>
      </c>
      <c r="E10" s="3" t="s">
        <v>212</v>
      </c>
      <c r="F10" s="3" t="s">
        <v>51</v>
      </c>
      <c r="G10" s="162" t="s">
        <v>199</v>
      </c>
      <c r="H10" s="162"/>
      <c r="I10" s="168" t="s">
        <v>211</v>
      </c>
      <c r="J10" s="157"/>
      <c r="K10" s="164"/>
    </row>
    <row r="11" spans="1:11">
      <c r="A11" s="14"/>
      <c r="B11" s="14"/>
      <c r="C11" s="4" t="s">
        <v>3</v>
      </c>
      <c r="D11" s="16">
        <v>218</v>
      </c>
      <c r="E11" s="171" t="s">
        <v>225</v>
      </c>
      <c r="F11" s="172">
        <v>2575.4</v>
      </c>
      <c r="G11" s="163" t="s">
        <v>200</v>
      </c>
      <c r="H11" s="162"/>
      <c r="I11" s="181" t="s">
        <v>226</v>
      </c>
      <c r="J11" s="175"/>
      <c r="K11" s="164"/>
    </row>
    <row r="12" spans="1:11" ht="31.2">
      <c r="A12" s="14"/>
      <c r="B12" s="14"/>
      <c r="C12" s="4" t="s">
        <v>5</v>
      </c>
      <c r="D12" s="16">
        <v>380</v>
      </c>
      <c r="E12" s="171" t="s">
        <v>227</v>
      </c>
      <c r="F12" s="172">
        <v>3934</v>
      </c>
      <c r="G12" s="174" t="s">
        <v>201</v>
      </c>
      <c r="H12" s="162"/>
      <c r="I12" s="181" t="s">
        <v>226</v>
      </c>
      <c r="J12" s="175"/>
      <c r="K12" s="164"/>
    </row>
    <row r="13" spans="1:11" ht="31.2">
      <c r="A13" s="14"/>
      <c r="B13" s="14"/>
      <c r="C13" s="4" t="s">
        <v>6</v>
      </c>
      <c r="D13" s="16">
        <v>380</v>
      </c>
      <c r="E13" s="171" t="s">
        <v>228</v>
      </c>
      <c r="F13" s="172">
        <v>5094.8</v>
      </c>
      <c r="G13" s="163"/>
      <c r="H13" s="162"/>
      <c r="I13" s="181" t="s">
        <v>226</v>
      </c>
      <c r="J13" s="175"/>
      <c r="K13" s="164"/>
    </row>
    <row r="14" spans="1:11">
      <c r="A14" s="14"/>
      <c r="B14" s="14"/>
      <c r="C14" s="14"/>
      <c r="D14" s="14"/>
      <c r="E14" s="14"/>
      <c r="F14" s="14"/>
      <c r="G14" s="14"/>
      <c r="H14" s="14"/>
      <c r="I14" s="14"/>
      <c r="J14" s="14"/>
      <c r="K14" s="164"/>
    </row>
    <row r="15" spans="1:11" s="158" customFormat="1" ht="25.95" customHeight="1">
      <c r="A15" s="157"/>
      <c r="B15" s="157" t="s">
        <v>229</v>
      </c>
      <c r="C15" s="157"/>
      <c r="D15" s="157"/>
      <c r="E15" s="157"/>
      <c r="F15" s="157"/>
      <c r="G15" s="157"/>
      <c r="H15" s="157"/>
      <c r="I15" s="157"/>
      <c r="J15" s="157"/>
      <c r="K15" s="164"/>
    </row>
    <row r="16" spans="1:11" ht="31.2">
      <c r="A16" s="14"/>
      <c r="B16" s="14"/>
      <c r="C16" s="22"/>
      <c r="D16" s="22"/>
      <c r="E16" s="5" t="s">
        <v>14</v>
      </c>
      <c r="F16" s="5" t="s">
        <v>15</v>
      </c>
      <c r="G16" s="5" t="s">
        <v>16</v>
      </c>
      <c r="H16" s="162" t="s">
        <v>199</v>
      </c>
      <c r="I16" s="162"/>
      <c r="J16" s="168" t="s">
        <v>211</v>
      </c>
      <c r="K16" s="164"/>
    </row>
    <row r="17" spans="1:11" ht="31.5" customHeight="1">
      <c r="A17" s="14"/>
      <c r="B17" s="14"/>
      <c r="C17" s="6" t="s">
        <v>74</v>
      </c>
      <c r="D17" s="6" t="s">
        <v>11</v>
      </c>
      <c r="E17" s="178">
        <v>321500</v>
      </c>
      <c r="F17" s="171" t="s">
        <v>231</v>
      </c>
      <c r="G17" s="170">
        <v>714500</v>
      </c>
      <c r="H17" s="163" t="s">
        <v>200</v>
      </c>
      <c r="I17" s="162"/>
      <c r="J17" s="173">
        <v>45901</v>
      </c>
      <c r="K17" s="175"/>
    </row>
    <row r="18" spans="1:11" ht="31.2">
      <c r="A18" s="14"/>
      <c r="B18" s="14"/>
      <c r="C18" s="6" t="s">
        <v>79</v>
      </c>
      <c r="D18" s="6" t="s">
        <v>12</v>
      </c>
      <c r="E18" s="178">
        <v>579500</v>
      </c>
      <c r="F18" s="171" t="s">
        <v>232</v>
      </c>
      <c r="G18" s="170">
        <v>972500</v>
      </c>
      <c r="H18" s="163" t="s">
        <v>210</v>
      </c>
      <c r="I18" s="162"/>
      <c r="J18" s="173">
        <v>45901</v>
      </c>
      <c r="K18" s="175"/>
    </row>
    <row r="19" spans="1:11" ht="46.8">
      <c r="A19" s="14"/>
      <c r="B19" s="14"/>
      <c r="C19" s="4" t="s">
        <v>75</v>
      </c>
      <c r="D19" s="6" t="s">
        <v>11</v>
      </c>
      <c r="E19" s="178">
        <v>481500</v>
      </c>
      <c r="F19" s="171" t="s">
        <v>233</v>
      </c>
      <c r="G19" s="170">
        <v>1074000</v>
      </c>
      <c r="H19" s="162"/>
      <c r="I19" s="162"/>
      <c r="J19" s="173">
        <v>45901</v>
      </c>
      <c r="K19" s="175"/>
    </row>
    <row r="20" spans="1:11" ht="46.8">
      <c r="A20" s="14"/>
      <c r="B20" s="14"/>
      <c r="C20" s="4" t="s">
        <v>76</v>
      </c>
      <c r="D20" s="6" t="s">
        <v>12</v>
      </c>
      <c r="E20" s="178">
        <v>739500</v>
      </c>
      <c r="F20" s="171" t="s">
        <v>234</v>
      </c>
      <c r="G20" s="170">
        <v>1332000</v>
      </c>
      <c r="H20" s="162"/>
      <c r="I20" s="162"/>
      <c r="J20" s="173">
        <v>45901</v>
      </c>
      <c r="K20" s="175"/>
    </row>
    <row r="21" spans="1:11" ht="31.2">
      <c r="A21" s="14"/>
      <c r="B21" s="14"/>
      <c r="C21" s="166" t="s">
        <v>77</v>
      </c>
      <c r="D21" s="6" t="s">
        <v>11</v>
      </c>
      <c r="E21" s="178">
        <v>481500</v>
      </c>
      <c r="F21" s="171" t="s">
        <v>235</v>
      </c>
      <c r="G21" s="170">
        <v>1267500</v>
      </c>
      <c r="H21" s="162"/>
      <c r="I21" s="162"/>
      <c r="J21" s="173">
        <v>45901</v>
      </c>
      <c r="K21" s="175"/>
    </row>
    <row r="22" spans="1:11" ht="46.8">
      <c r="A22" s="14"/>
      <c r="B22" s="14"/>
      <c r="C22" s="166" t="s">
        <v>78</v>
      </c>
      <c r="D22" s="6" t="s">
        <v>12</v>
      </c>
      <c r="E22" s="178">
        <v>739500</v>
      </c>
      <c r="F22" s="171" t="s">
        <v>236</v>
      </c>
      <c r="G22" s="170">
        <v>1525500</v>
      </c>
      <c r="H22" s="162"/>
      <c r="I22" s="162"/>
      <c r="J22" s="173">
        <v>45901</v>
      </c>
      <c r="K22" s="175"/>
    </row>
    <row r="23" spans="1:11" ht="31.2">
      <c r="A23" s="14"/>
      <c r="B23" s="14"/>
      <c r="C23" s="167" t="s">
        <v>13</v>
      </c>
      <c r="D23" s="6" t="s">
        <v>11</v>
      </c>
      <c r="E23" s="178">
        <v>481500</v>
      </c>
      <c r="F23" s="171" t="s">
        <v>220</v>
      </c>
      <c r="G23" s="170">
        <v>1059000</v>
      </c>
      <c r="H23" s="162"/>
      <c r="I23" s="162"/>
      <c r="J23" s="173">
        <v>45901</v>
      </c>
      <c r="K23" s="175"/>
    </row>
    <row r="24" spans="1:11" ht="31.2">
      <c r="A24" s="14"/>
      <c r="B24" s="14"/>
      <c r="C24" s="167" t="s">
        <v>13</v>
      </c>
      <c r="D24" s="6" t="s">
        <v>12</v>
      </c>
      <c r="E24" s="178">
        <v>739500</v>
      </c>
      <c r="F24" s="171" t="s">
        <v>234</v>
      </c>
      <c r="G24" s="170">
        <v>1332000</v>
      </c>
      <c r="H24" s="162"/>
      <c r="I24" s="162"/>
      <c r="J24" s="173">
        <v>45901</v>
      </c>
      <c r="K24" s="175"/>
    </row>
    <row r="25" spans="1:11">
      <c r="A25" s="14"/>
      <c r="B25" s="14"/>
      <c r="C25" s="14"/>
      <c r="D25" s="14"/>
      <c r="E25" s="14"/>
      <c r="F25" s="14"/>
      <c r="G25" s="14"/>
      <c r="H25" s="14"/>
      <c r="I25" s="14"/>
      <c r="J25" s="14"/>
      <c r="K25" s="164"/>
    </row>
    <row r="26" spans="1:11" s="158" customFormat="1" ht="25.2" customHeight="1">
      <c r="A26" s="157"/>
      <c r="B26" s="157" t="s">
        <v>27</v>
      </c>
      <c r="C26" s="157"/>
      <c r="D26" s="157"/>
      <c r="E26" s="157"/>
      <c r="F26" s="157"/>
      <c r="G26" s="157"/>
      <c r="H26" s="157"/>
      <c r="I26" s="157" t="s">
        <v>202</v>
      </c>
      <c r="J26" s="157"/>
      <c r="K26" s="164"/>
    </row>
    <row r="27" spans="1:11" ht="31.2">
      <c r="A27" s="14"/>
      <c r="B27" s="14"/>
      <c r="C27" s="7" t="s">
        <v>17</v>
      </c>
      <c r="D27" s="7" t="s">
        <v>18</v>
      </c>
      <c r="E27" s="11" t="s">
        <v>35</v>
      </c>
      <c r="F27" s="11" t="s">
        <v>36</v>
      </c>
      <c r="G27" s="13" t="s">
        <v>37</v>
      </c>
      <c r="H27" s="14"/>
      <c r="I27" s="14"/>
      <c r="J27" s="14"/>
      <c r="K27" s="164"/>
    </row>
    <row r="28" spans="1:11" ht="37.950000000000003" customHeight="1">
      <c r="A28" s="14"/>
      <c r="B28" s="14"/>
      <c r="C28" s="7" t="s">
        <v>34</v>
      </c>
      <c r="D28" s="7">
        <v>65</v>
      </c>
      <c r="E28">
        <v>1</v>
      </c>
      <c r="F28" s="12">
        <v>19176</v>
      </c>
      <c r="G28">
        <v>65</v>
      </c>
      <c r="H28" s="14"/>
      <c r="I28" s="14"/>
      <c r="J28" s="14"/>
      <c r="K28" s="164"/>
    </row>
    <row r="29" spans="1:11" ht="31.2">
      <c r="A29" s="14"/>
      <c r="B29" s="14"/>
      <c r="C29" s="8" t="s">
        <v>19</v>
      </c>
      <c r="D29" s="8" t="s">
        <v>20</v>
      </c>
      <c r="E29" s="12">
        <v>19176</v>
      </c>
      <c r="F29" s="12">
        <v>19724</v>
      </c>
      <c r="G29">
        <v>65.5</v>
      </c>
      <c r="H29" s="14"/>
      <c r="I29" s="14"/>
      <c r="J29" s="14"/>
      <c r="K29" s="164"/>
    </row>
    <row r="30" spans="1:11" ht="31.2">
      <c r="A30" s="14"/>
      <c r="B30" s="14"/>
      <c r="C30" s="8" t="s">
        <v>21</v>
      </c>
      <c r="D30" s="8" t="s">
        <v>22</v>
      </c>
      <c r="E30" s="12">
        <v>19725</v>
      </c>
      <c r="F30" s="12">
        <v>20270</v>
      </c>
      <c r="G30">
        <v>66</v>
      </c>
      <c r="H30" s="14"/>
      <c r="I30" s="14"/>
      <c r="J30" s="14"/>
      <c r="K30" s="164"/>
    </row>
    <row r="31" spans="1:11" ht="31.2">
      <c r="A31" s="14"/>
      <c r="B31" s="14"/>
      <c r="C31" s="8" t="s">
        <v>23</v>
      </c>
      <c r="D31" s="8" t="s">
        <v>24</v>
      </c>
      <c r="E31" s="12">
        <v>20271</v>
      </c>
      <c r="F31" s="12">
        <v>20820</v>
      </c>
      <c r="G31">
        <v>66.5</v>
      </c>
      <c r="H31" s="14"/>
      <c r="I31" s="14"/>
      <c r="J31" s="14"/>
      <c r="K31" s="164"/>
    </row>
    <row r="32" spans="1:11">
      <c r="A32" s="14"/>
      <c r="B32" s="14"/>
      <c r="C32" s="8" t="s">
        <v>25</v>
      </c>
      <c r="D32" s="8" t="s">
        <v>26</v>
      </c>
      <c r="E32" s="12">
        <v>20821</v>
      </c>
      <c r="F32" s="12">
        <v>100000000000</v>
      </c>
      <c r="G32">
        <v>67</v>
      </c>
      <c r="H32" s="14"/>
      <c r="I32" s="14"/>
      <c r="J32" s="14"/>
      <c r="K32" s="164"/>
    </row>
    <row r="33" spans="1:11">
      <c r="A33" s="14"/>
      <c r="B33" s="14"/>
      <c r="C33" s="14"/>
      <c r="D33" s="14"/>
      <c r="E33" s="14"/>
      <c r="F33" s="14"/>
      <c r="G33" s="14"/>
      <c r="H33" s="14"/>
      <c r="I33" s="14"/>
      <c r="J33" s="14"/>
      <c r="K33" s="164"/>
    </row>
    <row r="34" spans="1:11">
      <c r="A34" s="14"/>
      <c r="B34" s="14"/>
      <c r="C34" s="14"/>
      <c r="D34" s="14"/>
      <c r="E34" s="14"/>
      <c r="F34" s="14"/>
      <c r="G34" s="14"/>
      <c r="H34" s="14"/>
      <c r="I34" s="14"/>
      <c r="J34" s="14"/>
      <c r="K34" s="164"/>
    </row>
    <row r="35" spans="1:11" s="158" customFormat="1" ht="24" customHeight="1">
      <c r="A35" s="157"/>
      <c r="B35" s="157" t="s">
        <v>221</v>
      </c>
      <c r="C35" s="157"/>
      <c r="D35" s="157"/>
      <c r="E35" s="157"/>
      <c r="F35" s="157"/>
      <c r="G35" s="157"/>
      <c r="H35" s="157"/>
      <c r="I35" s="157"/>
      <c r="J35" s="157"/>
      <c r="K35" s="164"/>
    </row>
    <row r="36" spans="1:11" ht="31.2">
      <c r="A36" s="14"/>
      <c r="B36" s="14"/>
      <c r="C36" s="10" t="s">
        <v>28</v>
      </c>
      <c r="E36" s="10" t="s">
        <v>29</v>
      </c>
      <c r="F36" s="10" t="s">
        <v>30</v>
      </c>
      <c r="G36" s="10" t="s">
        <v>31</v>
      </c>
      <c r="H36" s="14"/>
      <c r="I36" s="14"/>
      <c r="J36" s="14"/>
      <c r="K36" s="164"/>
    </row>
    <row r="37" spans="1:11">
      <c r="A37" s="14"/>
      <c r="B37" s="14"/>
      <c r="C37" s="9" t="s">
        <v>3</v>
      </c>
      <c r="E37" s="17">
        <v>34919</v>
      </c>
      <c r="F37" s="17">
        <v>52759</v>
      </c>
      <c r="G37" s="17">
        <v>2230</v>
      </c>
      <c r="H37" s="173">
        <v>45809</v>
      </c>
      <c r="I37" s="14"/>
      <c r="J37" s="14"/>
      <c r="K37" s="164"/>
    </row>
    <row r="38" spans="1:11" ht="31.2">
      <c r="A38" s="14"/>
      <c r="B38" s="14"/>
      <c r="C38" s="9" t="s">
        <v>5</v>
      </c>
      <c r="D38" t="s">
        <v>90</v>
      </c>
      <c r="E38" s="17">
        <v>30994</v>
      </c>
      <c r="F38" s="17">
        <v>43810</v>
      </c>
      <c r="G38" s="17">
        <v>1602</v>
      </c>
      <c r="H38" s="173">
        <v>45809</v>
      </c>
      <c r="I38" s="14"/>
      <c r="J38" s="14"/>
      <c r="K38" s="164"/>
    </row>
    <row r="39" spans="1:11">
      <c r="A39" s="14"/>
      <c r="B39" s="14"/>
      <c r="D39" t="s">
        <v>91</v>
      </c>
      <c r="E39" s="17">
        <f>2*E38</f>
        <v>61988</v>
      </c>
      <c r="F39" s="17">
        <f>2*F38</f>
        <v>87620</v>
      </c>
      <c r="G39" s="17">
        <f>2*G38</f>
        <v>3204</v>
      </c>
      <c r="H39" s="173">
        <v>45809</v>
      </c>
      <c r="I39" s="14"/>
      <c r="J39" s="14"/>
      <c r="K39" s="164"/>
    </row>
    <row r="40" spans="1:11" ht="31.2">
      <c r="A40" s="14"/>
      <c r="B40" s="14"/>
      <c r="C40" s="9" t="s">
        <v>6</v>
      </c>
      <c r="D40" t="s">
        <v>90</v>
      </c>
      <c r="E40" s="17">
        <v>33732</v>
      </c>
      <c r="F40" s="17">
        <v>50052</v>
      </c>
      <c r="G40" s="17">
        <v>2040</v>
      </c>
      <c r="H40" s="173">
        <v>45809</v>
      </c>
      <c r="I40" s="14"/>
      <c r="J40" s="14"/>
      <c r="K40" s="164"/>
    </row>
    <row r="41" spans="1:11">
      <c r="A41" s="14"/>
      <c r="B41" s="14"/>
      <c r="D41" t="s">
        <v>91</v>
      </c>
      <c r="E41" s="17">
        <f>2*E40</f>
        <v>67464</v>
      </c>
      <c r="F41" s="17">
        <f t="shared" ref="F41:G41" si="0">2*F40</f>
        <v>100104</v>
      </c>
      <c r="G41" s="17">
        <f t="shared" si="0"/>
        <v>4080</v>
      </c>
      <c r="H41" s="173">
        <v>45809</v>
      </c>
      <c r="I41" s="14"/>
      <c r="J41" s="14"/>
      <c r="K41" s="164"/>
    </row>
    <row r="42" spans="1:11">
      <c r="A42" s="14"/>
      <c r="B42" s="14"/>
      <c r="C42" s="14"/>
      <c r="D42" s="14"/>
      <c r="E42" s="14"/>
      <c r="F42" s="14"/>
      <c r="G42" s="14"/>
      <c r="H42" s="14"/>
      <c r="I42" s="14"/>
      <c r="J42" s="14"/>
      <c r="K42" s="164"/>
    </row>
    <row r="43" spans="1:11">
      <c r="A43" s="14"/>
      <c r="B43" s="14"/>
      <c r="C43" s="14"/>
      <c r="D43" s="14"/>
      <c r="E43" s="14"/>
      <c r="F43" s="14"/>
      <c r="G43" s="14"/>
      <c r="H43" s="14"/>
      <c r="I43" s="14"/>
      <c r="J43" s="14"/>
      <c r="K43" s="164"/>
    </row>
    <row r="44" spans="1:11" s="158" customFormat="1" ht="19.2" customHeight="1">
      <c r="A44" s="157"/>
      <c r="B44" s="159" t="s">
        <v>237</v>
      </c>
      <c r="C44" s="157"/>
      <c r="D44" s="157"/>
      <c r="E44" s="157"/>
      <c r="F44" s="157"/>
      <c r="G44" s="157"/>
      <c r="H44" s="157"/>
      <c r="I44" s="177" t="s">
        <v>214</v>
      </c>
      <c r="J44" s="177"/>
      <c r="K44" s="164"/>
    </row>
    <row r="45" spans="1:11">
      <c r="A45" s="14"/>
      <c r="B45" s="14"/>
      <c r="C45" s="14"/>
      <c r="D45" s="14"/>
      <c r="E45" s="14"/>
      <c r="F45" s="14"/>
      <c r="G45" s="14"/>
      <c r="H45" s="14"/>
      <c r="I45" s="162"/>
      <c r="J45" s="162"/>
      <c r="K45" s="164"/>
    </row>
    <row r="46" spans="1:11" ht="40.950000000000003" customHeight="1">
      <c r="A46" s="14"/>
      <c r="B46" s="14"/>
      <c r="C46" s="23"/>
      <c r="D46" s="24"/>
      <c r="E46" s="25" t="s">
        <v>48</v>
      </c>
      <c r="F46" s="25" t="s">
        <v>49</v>
      </c>
      <c r="G46" s="25" t="s">
        <v>56</v>
      </c>
      <c r="H46" s="25" t="s">
        <v>62</v>
      </c>
      <c r="I46" s="25" t="s">
        <v>57</v>
      </c>
      <c r="K46" s="164"/>
    </row>
    <row r="47" spans="1:11" ht="25.95" customHeight="1">
      <c r="A47" s="14"/>
      <c r="B47" s="14"/>
      <c r="C47" s="9" t="s">
        <v>3</v>
      </c>
      <c r="D47" s="30" t="s">
        <v>94</v>
      </c>
      <c r="E47" s="169">
        <v>1079.7</v>
      </c>
      <c r="F47" s="176">
        <f>E47*26</f>
        <v>28072.2</v>
      </c>
      <c r="G47" s="169">
        <v>84.9</v>
      </c>
      <c r="H47" s="169">
        <v>45.6</v>
      </c>
      <c r="I47" s="169">
        <v>14.1</v>
      </c>
      <c r="J47" s="173">
        <v>45901</v>
      </c>
      <c r="K47" s="164"/>
    </row>
    <row r="48" spans="1:11" ht="25.95" customHeight="1">
      <c r="A48" s="14"/>
      <c r="B48" s="14"/>
      <c r="C48" s="9" t="s">
        <v>5</v>
      </c>
      <c r="D48" t="s">
        <v>90</v>
      </c>
      <c r="E48" s="169">
        <v>813.9</v>
      </c>
      <c r="F48" s="176">
        <f t="shared" ref="F48:F51" si="1">E48*26</f>
        <v>21161.399999999998</v>
      </c>
      <c r="G48" s="169">
        <v>64</v>
      </c>
      <c r="H48" s="169">
        <v>34.4</v>
      </c>
      <c r="I48" s="169">
        <v>10.6</v>
      </c>
      <c r="J48" s="173">
        <v>45901</v>
      </c>
      <c r="K48" s="164"/>
    </row>
    <row r="49" spans="1:11" ht="25.95" customHeight="1">
      <c r="A49" s="14"/>
      <c r="B49" s="14"/>
      <c r="C49" s="29" t="s">
        <v>94</v>
      </c>
      <c r="D49" t="s">
        <v>91</v>
      </c>
      <c r="E49" s="176">
        <f>2*E48</f>
        <v>1627.8</v>
      </c>
      <c r="F49" s="176">
        <f t="shared" si="1"/>
        <v>42322.799999999996</v>
      </c>
      <c r="G49" s="176">
        <f>2*G48</f>
        <v>128</v>
      </c>
      <c r="H49" s="176">
        <f>2*H48</f>
        <v>68.8</v>
      </c>
      <c r="I49" s="176">
        <f>2*I48</f>
        <v>21.2</v>
      </c>
      <c r="J49" s="173">
        <v>45901</v>
      </c>
      <c r="K49" s="164"/>
    </row>
    <row r="50" spans="1:11" ht="25.95" customHeight="1">
      <c r="A50" s="14"/>
      <c r="B50" s="14"/>
      <c r="C50" s="9" t="s">
        <v>6</v>
      </c>
      <c r="D50" t="s">
        <v>90</v>
      </c>
      <c r="E50" s="176">
        <f>E47</f>
        <v>1079.7</v>
      </c>
      <c r="F50" s="176">
        <f t="shared" si="1"/>
        <v>28072.2</v>
      </c>
      <c r="G50" s="176">
        <f>G47</f>
        <v>84.9</v>
      </c>
      <c r="H50" s="169">
        <v>45.6</v>
      </c>
      <c r="I50" s="169">
        <v>14.1</v>
      </c>
      <c r="J50" s="173">
        <v>45901</v>
      </c>
      <c r="K50" s="164"/>
    </row>
    <row r="51" spans="1:11" ht="25.95" customHeight="1">
      <c r="A51" s="14"/>
      <c r="B51" s="14"/>
      <c r="C51" s="28" t="s">
        <v>94</v>
      </c>
      <c r="D51" t="s">
        <v>91</v>
      </c>
      <c r="E51" s="176">
        <f>2*E50</f>
        <v>2159.4</v>
      </c>
      <c r="F51" s="176">
        <f t="shared" si="1"/>
        <v>56144.4</v>
      </c>
      <c r="G51" s="176">
        <f>2*G50</f>
        <v>169.8</v>
      </c>
      <c r="H51" s="176">
        <f>2*H50</f>
        <v>91.2</v>
      </c>
      <c r="I51" s="176">
        <f>2*I50</f>
        <v>28.2</v>
      </c>
      <c r="J51" s="173">
        <v>45901</v>
      </c>
      <c r="K51" s="164"/>
    </row>
    <row r="52" spans="1:11">
      <c r="A52" s="14"/>
      <c r="B52" s="14"/>
      <c r="C52" s="21"/>
      <c r="D52" s="21"/>
      <c r="E52" s="21"/>
      <c r="F52" s="21"/>
      <c r="G52" s="21"/>
      <c r="H52" s="14"/>
      <c r="I52" s="14"/>
      <c r="J52" s="14"/>
      <c r="K52" s="164"/>
    </row>
    <row r="53" spans="1:11">
      <c r="A53" s="14"/>
      <c r="B53" s="20" t="s">
        <v>67</v>
      </c>
      <c r="C53" s="21" t="s">
        <v>215</v>
      </c>
      <c r="D53" s="21"/>
      <c r="E53" s="21"/>
      <c r="F53" s="21"/>
      <c r="G53" s="21"/>
      <c r="H53" s="14"/>
      <c r="I53" s="14"/>
      <c r="J53" s="14"/>
      <c r="K53" s="164"/>
    </row>
    <row r="54" spans="1:11" ht="19.95" customHeight="1">
      <c r="A54" s="14"/>
      <c r="B54" s="14"/>
      <c r="C54" s="26" t="s">
        <v>68</v>
      </c>
      <c r="D54" s="26">
        <v>7800</v>
      </c>
      <c r="E54" s="21" t="s">
        <v>216</v>
      </c>
      <c r="F54" s="21"/>
      <c r="G54" s="21"/>
      <c r="H54" s="14"/>
      <c r="I54" s="14"/>
      <c r="J54" s="173">
        <v>45292</v>
      </c>
      <c r="K54" s="164"/>
    </row>
    <row r="55" spans="1:11">
      <c r="A55" s="14"/>
      <c r="B55" s="14"/>
      <c r="C55" s="21"/>
      <c r="D55" s="21"/>
      <c r="E55" s="21"/>
      <c r="F55" s="21"/>
      <c r="G55" s="21"/>
      <c r="H55" s="14"/>
      <c r="I55" s="14"/>
      <c r="J55" s="14"/>
      <c r="K55" s="164"/>
    </row>
    <row r="59" spans="1:11">
      <c r="F59" s="160"/>
    </row>
  </sheetData>
  <sheetProtection algorithmName="SHA-512" hashValue="kskTfgpoptU/0rnpvwXDjf43C0NiClS6q79tBMlYM0zI59bAmxei0iNZV8Kjotf1uMpEYKPqk9tuW9nVS1VIjA==" saltValue="46YJ3gZY55lqzCddnpSdZg==" spinCount="100000" sheet="1" objects="1" scenarios="1" selectLockedCells="1" selectUnlockedCells="1"/>
  <phoneticPr fontId="8" type="noConversion"/>
  <pageMargins left="0.75000000000000011" right="0.75000000000000011" top="1" bottom="1" header="0.5" footer="0.5"/>
  <pageSetup paperSize="9" scale="42" orientation="portrait"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D10"/>
  <sheetViews>
    <sheetView workbookViewId="0">
      <selection activeCell="F20" sqref="F20"/>
    </sheetView>
  </sheetViews>
  <sheetFormatPr defaultColWidth="10.69921875" defaultRowHeight="21"/>
  <cols>
    <col min="1" max="2" width="20.5" style="127" customWidth="1"/>
    <col min="3" max="3" width="39" style="127" customWidth="1"/>
    <col min="4" max="16384" width="10.69921875" style="127"/>
  </cols>
  <sheetData>
    <row r="2" spans="1:4">
      <c r="C2" s="128" t="s">
        <v>0</v>
      </c>
    </row>
    <row r="3" spans="1:4">
      <c r="C3" s="128" t="s">
        <v>1</v>
      </c>
    </row>
    <row r="5" spans="1:4">
      <c r="A5" s="129" t="s">
        <v>2</v>
      </c>
      <c r="B5" s="129">
        <v>1</v>
      </c>
      <c r="C5" s="129" t="s">
        <v>3</v>
      </c>
      <c r="D5" s="129">
        <v>1</v>
      </c>
    </row>
    <row r="6" spans="1:4">
      <c r="A6" s="129"/>
      <c r="B6" s="129">
        <v>2</v>
      </c>
      <c r="C6" s="129" t="s">
        <v>5</v>
      </c>
      <c r="D6" s="129">
        <v>2</v>
      </c>
    </row>
    <row r="7" spans="1:4">
      <c r="A7" s="129"/>
      <c r="B7" s="129">
        <v>3</v>
      </c>
      <c r="C7" s="129" t="s">
        <v>6</v>
      </c>
      <c r="D7" s="129">
        <v>3</v>
      </c>
    </row>
    <row r="9" spans="1:4">
      <c r="A9" s="130" t="s">
        <v>7</v>
      </c>
      <c r="B9" s="130">
        <v>1</v>
      </c>
      <c r="C9" s="130" t="s">
        <v>8</v>
      </c>
      <c r="D9" s="130"/>
    </row>
    <row r="10" spans="1:4">
      <c r="A10" s="130"/>
      <c r="B10" s="130">
        <v>2</v>
      </c>
      <c r="C10" s="130" t="s">
        <v>55</v>
      </c>
      <c r="D10" s="130"/>
    </row>
  </sheetData>
  <sheetProtection algorithmName="SHA-512" hashValue="zzVNt+S8xAOlq2jD7tXqRIOkEvfRR4hCzIxTaUbLv6p5+9TATql6NAGbfa3PlGqMPqiwDv4MMAIxG3jBPIFGXA==" saltValue="svgTrolwXEk54IeVeHpYIA==" spinCount="100000" sheet="1" objects="1" scenarios="1" selectLockedCells="1" selectUnlockedCell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Disclaimer</vt:lpstr>
      <vt:lpstr>Age Pension Eligibility</vt:lpstr>
      <vt:lpstr>data</vt:lpstr>
      <vt:lpstr>lists</vt:lpstr>
      <vt:lpstr>'Age Pension Eligibility'!Print_Area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Muratore</dc:creator>
  <cp:lastModifiedBy>Shane McNally</cp:lastModifiedBy>
  <cp:lastPrinted>2017-09-14T23:48:26Z</cp:lastPrinted>
  <dcterms:created xsi:type="dcterms:W3CDTF">2016-11-21T23:52:27Z</dcterms:created>
  <dcterms:modified xsi:type="dcterms:W3CDTF">2025-09-02T05:42:16Z</dcterms:modified>
</cp:coreProperties>
</file>